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2.xml.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_rels/drawing4.xml.rels" ContentType="application/vnd.openxmlformats-package.relationships+xml"/>
  <Override PartName="/xl/drawings/_rels/drawing1.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uverture" sheetId="1" state="visible" r:id="rId2"/>
    <sheet name="Ancres" sheetId="2" state="visible" r:id="rId3"/>
    <sheet name="Paramètres" sheetId="3" state="visible" r:id="rId4"/>
    <sheet name="Coût par feuille" sheetId="4" state="visible" r:id="rId5"/>
    <sheet name="Périodes" sheetId="5" state="visible" r:id="rId6"/>
    <sheet name="Prix &amp; conjoncture" sheetId="6" state="visible" r:id="rId7"/>
    <sheet name="Négoce européen" sheetId="7" state="visible" r:id="rId8"/>
    <sheet name="Sensibilité" sheetId="8" state="visible" r:id="rId9"/>
    <sheet name="Sources"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<sst xmlns="http://schemas.openxmlformats.org/spreadsheetml/2006/main" count="695" uniqueCount="478">
  <si>
    <t xml:space="preserve">Modèle de coût — papiers peints de Canton</t>
  </si>
  <si>
    <t xml:space="preserve">Coût de fabrication à Canton et chaîne de valeur européenne jusqu’au prix de vente final, par période (1720–1860) · v1.2 août 2026 · Wallpaper Canton / CantonDB</t>
  </si>
  <si>
    <t xml:space="preserve">Résultats clés</t>
  </si>
  <si>
    <t xml:space="preserve">Fourchette de prix documentés (1753–1788)</t>
  </si>
  <si>
    <t xml:space="preserve">0,4 – 2,6 taels / feuille</t>
  </si>
  <si>
    <t xml:space="preserve">[A]</t>
  </si>
  <si>
    <t xml:space="preserve">Pic annuel documenté</t>
  </si>
  <si>
    <t xml:space="preserve">12 965 feuilles (1768, navires FR + EIC)</t>
  </si>
  <si>
    <t xml:space="preserve">Coût ex-works — feuille standard (scénario milieu)</t>
  </si>
  <si>
    <t xml:space="preserve">[B]</t>
  </si>
  <si>
    <t xml:space="preserve">Marge brute implicite — standard (couvre 8 mois de saison morte)</t>
  </si>
  <si>
    <t xml:space="preserve">Change documenté : 1 tael ≈ 1,39 $ espagnols ≈</t>
  </si>
  <si>
    <t xml:space="preserve">[A/B]</t>
  </si>
  <si>
    <t xml:space="preserve">Prix d'une feuille standard ≈ (mois de salaire manœuvre)</t>
  </si>
  <si>
    <t xml:space="preserve">Prix final européen documenté (Croome 1763) vs prix d’achat médian Canton</t>
  </si>
  <si>
    <t xml:space="preserve">× 5,0 (multiplicateur documenté)</t>
  </si>
  <si>
    <t xml:space="preserve">Discipline épistémologique (héritée de l'audit des 3 documents)</t>
  </si>
  <si>
    <t xml:space="preserve">[A]  Ancre documentée</t>
  </si>
  <si>
    <t xml:space="preserve">Valeur issue d'une source citée (archives VOC/DAC, registres Hoppo, V&amp;A, Polidori).</t>
  </si>
  <si>
    <t xml:space="preserve">[B]  Estimation calibrée</t>
  </si>
  <si>
    <t xml:space="preserve">Valeur dérivée d'ancres par une méthode explicitée (cadences, change, indices).</t>
  </si>
  <si>
    <t xml:space="preserve">[C]  Hypothèse paramétrique</t>
  </si>
  <si>
    <t xml:space="preserve">AUCUNE source directe (support, pigments, frais) : fourchette ajustable, jamais de fausse précision.</t>
  </si>
  <si>
    <t xml:space="preserve">Index des feuilles</t>
  </si>
  <si>
    <t xml:space="preserve">Ancres</t>
  </si>
  <si>
    <t xml:space="preserve">Toutes les commandes documentées 1753–1788 : prix, volumes, cadences + graphique</t>
  </si>
  <si>
    <t xml:space="preserve">Paramètres</t>
  </si>
  <si>
    <t xml:space="preserve">Entrées ajustables (cellules bleues) : salaires, cadences, coûts matière, taxes, change</t>
  </si>
  <si>
    <t xml:space="preserve">Coût par feuille</t>
  </si>
  <si>
    <t xml:space="preserve">Buildup de coût ex-works par gamme (simple / standard / prestige) × 3 scénarios + marges</t>
  </si>
  <si>
    <t xml:space="preserve">Périodes</t>
  </si>
  <si>
    <t xml:space="preserve">P0–P6 : demande européenne, contraintes réglementaires et climatiques, lecture Yangban</t>
  </si>
  <si>
    <t xml:space="preserve">Sensibilité</t>
  </si>
  <si>
    <t xml:space="preserve">Grilles coût = f(salaire, cadence) et marge = f(prix, coût)</t>
  </si>
  <si>
    <t xml:space="preserve">Sources</t>
  </si>
  <si>
    <t xml:space="preserve">Traçabilité complète de chaque donnée externe</t>
  </si>
  <si>
    <t xml:space="preserve">Prix &amp; conjoncture</t>
  </si>
  <si>
    <t xml:space="preserve">Série des prix documentés [A] · seuils de dégradation qualité [B][C] · cohérence datation (note v1.0)</t>
  </si>
  <si>
    <t xml:space="preserve">Négoce européen</t>
  </si>
  <si>
    <t xml:space="preserve">Chaîne Canton → Londres / Pays Bas / Lorient → Paris : fret, enchères (commission 15 % [A]), marges, prix final — calibration Croome 1763</t>
  </si>
  <si>
    <t xml:space="preserve">Usage : modifiez les cellules bleues de « Paramètres » et « Négoce européen » — tout le classeur se recalcule. Périmètre : de la fabrication à Canton au prix de vente final européen ; fret, assurance et marges de distribution demeurent des hypothèses [C] faute de sources directes.</t>
  </si>
  <si>
    <t xml:space="preserve">Ancres documentées — prix, volumes, cadences (1753–1788)</t>
  </si>
  <si>
    <t xml:space="preserve">Chaque valeur porte sa source. [A] = ancre documentée · [B] = estimation calibrée · aucune valeur inventée</t>
  </si>
  <si>
    <t xml:space="preserve">1 · Prix et volumes documentés par commande (archives VOC / DAC / registres du Hoppo)</t>
  </si>
  <si>
    <t xml:space="preserve">Appui graphique</t>
  </si>
  <si>
    <t xml:space="preserve">Année</t>
  </si>
  <si>
    <t xml:space="preserve">Acheteur / canal</t>
  </si>
  <si>
    <t xml:space="preserve">Produit</t>
  </si>
  <si>
    <t xml:space="preserve">Feuilles (n)</t>
  </si>
  <si>
    <t xml:space="preserve">Montant (taels)</t>
  </si>
  <si>
    <t xml:space="preserve">Prix / feuille (taels)</t>
  </si>
  <si>
    <t xml:space="preserve">Délai (j)</t>
  </si>
  <si>
    <t xml:space="preserve">Cadence (f/j)</t>
  </si>
  <si>
    <t xml:space="preserve">Taille / notes</t>
  </si>
  <si>
    <t xml:space="preserve">Source</t>
  </si>
  <si>
    <t xml:space="preserve">URL</t>
  </si>
  <si>
    <t xml:space="preserve">Commande</t>
  </si>
  <si>
    <t xml:space="preserve">t/f</t>
  </si>
  <si>
    <t xml:space="preserve">VOC (Hollande)</t>
  </si>
  <si>
    <t xml:space="preserve">Papier peint, 20 échantillons</t>
  </si>
  <si>
    <t xml:space="preserve">Délai insuffisant : reliquat annulé l'année suivante</t>
  </si>
  <si>
    <t xml:space="preserve">Van Dyke 2024, Rev. of Culture 76 (ICM Macao)</t>
  </si>
  <si>
    <t xml:space="preserve">http://www.icm.gov.mo/rc/viewer/pdfViewerParts/40076/4327</t>
  </si>
  <si>
    <t xml:space="preserve">1753 VOC std</t>
  </si>
  <si>
    <t xml:space="preserve">Style mosaïque</t>
  </si>
  <si>
    <t xml:space="preserve">Seules feuilles livrées avant le départ du navire</t>
  </si>
  <si>
    <t xml:space="preserve">1753 mosaïque</t>
  </si>
  <si>
    <t xml:space="preserve">6 navires anglais privés</t>
  </si>
  <si>
    <t xml:space="preserve">« painted paper »</t>
  </si>
  <si>
    <t xml:space="preserve">30,79 piculs ≈ 4 105 lb ≈ 1 862 kg — pesées, non comptées (Hoppo)</t>
  </si>
  <si>
    <t xml:space="preserve">1776 DAC</t>
  </si>
  <si>
    <t xml:space="preserve">3 navires français</t>
  </si>
  <si>
    <t xml:space="preserve">« papier peinte »</t>
  </si>
  <si>
    <t xml:space="preserve">Registre du Hoppo (comptées)</t>
  </si>
  <si>
    <t xml:space="preserve">1781 Anthony</t>
  </si>
  <si>
    <t xml:space="preserve">12 navires EIC</t>
  </si>
  <si>
    <t xml:space="preserve">wallpaper</t>
  </si>
  <si>
    <t xml:space="preserve">1781 Assing</t>
  </si>
  <si>
    <t xml:space="preserve">Registre du Hoppo</t>
  </si>
  <si>
    <t xml:space="preserve">1781 Seequa</t>
  </si>
  <si>
    <t xml:space="preserve">4 navires anglais privés</t>
  </si>
  <si>
    <t xml:space="preserve">7 piculs ≈ 933 lb ≈ 423 kg (Hoppo)</t>
  </si>
  <si>
    <t xml:space="preserve">1782 Seequa</t>
  </si>
  <si>
    <t xml:space="preserve">DAC (Lo Thunqua, Fouqua, Syqua)</t>
  </si>
  <si>
    <t xml:space="preserve">wallpaper, 12 motifs</t>
  </si>
  <si>
    <t xml:space="preserve">Commande 904,48 taels incl. skærm + dørstykker (~1 256 $)</t>
  </si>
  <si>
    <t xml:space="preserve">1783 Seequa</t>
  </si>
  <si>
    <t xml:space="preserve">2 navires VOC (comptes privés)</t>
  </si>
  <si>
    <t xml:space="preserve">paper hangings</t>
  </si>
  <si>
    <t xml:space="preserve">Chargées en janvier 1776 (Hoppo)</t>
  </si>
  <si>
    <t xml:space="preserve">1785 Seequa</t>
  </si>
  <si>
    <t xml:space="preserve">VOC (Seequa, 4 navires)</t>
  </si>
  <si>
    <t xml:space="preserve">Fourchette documentée 0,8–1,8 t/f selon motif et format</t>
  </si>
  <si>
    <t xml:space="preserve">1786 Seequa</t>
  </si>
  <si>
    <t xml:space="preserve">DAC — Anthony</t>
  </si>
  <si>
    <t xml:space="preserve">9×3,3 covids ≈ 3,2×1,2 m</t>
  </si>
  <si>
    <t xml:space="preserve">1787 DAC</t>
  </si>
  <si>
    <t xml:space="preserve">DAC — Assing</t>
  </si>
  <si>
    <t xml:space="preserve">1787 VOC Ant.</t>
  </si>
  <si>
    <t xml:space="preserve">DAC — Seequa</t>
  </si>
  <si>
    <t xml:space="preserve">Moyenne générale 1781 : 1,224 t/f (1 504 f., 1 841 t)</t>
  </si>
  <si>
    <t xml:space="preserve">1787 VOC Seeq.</t>
  </si>
  <si>
    <t xml:space="preserve">10 oct. → 5 janv. ; ≈ 15 f/j — atelier nombreux</t>
  </si>
  <si>
    <t xml:space="preserve">wallpaper + 60 dørstykker</t>
  </si>
  <si>
    <t xml:space="preserve">Dørstykker @ 0,95 t ; ≈ 6 f/j</t>
  </si>
  <si>
    <t xml:space="preserve">wallpaper, 44 pièces de 24</t>
  </si>
  <si>
    <t xml:space="preserve">Commande la plus complexe ; +168 dørstökker (151,2 t)</t>
  </si>
  <si>
    <t xml:space="preserve">wallpaper, 36 jeux</t>
  </si>
  <si>
    <t xml:space="preserve">18 caisses ; +144 dørstökker @ 0,9 ; ≈ 10,5 f/j</t>
  </si>
  <si>
    <t xml:space="preserve">wallpaper, 20 jeux</t>
  </si>
  <si>
    <t xml:space="preserve">Dernière commande danoise ; ≈ 5 f/j</t>
  </si>
  <si>
    <t xml:space="preserve">VOC — Anthony</t>
  </si>
  <si>
    <t xml:space="preserve">wallpaper, 16 jeux de 26</t>
  </si>
  <si>
    <t xml:space="preserve">1,4–1,5 t/f selon motif ; ≈ 7 f/j</t>
  </si>
  <si>
    <t xml:space="preserve">VOC — Seequa</t>
  </si>
  <si>
    <t xml:space="preserve">wallpaper + cheminées + portes</t>
  </si>
  <si>
    <t xml:space="preserve">Incl. 50 gaze or/argent ; ≈ 13 f/j</t>
  </si>
  <si>
    <t xml:space="preserve">wallpaper, 70 jeux de 24</t>
  </si>
  <si>
    <t xml:space="preserve">+140 dessus-de-porte +300 tableaux ; dernière commande VOC</t>
  </si>
  <si>
    <t xml:space="preserve">2 · Autres grandeurs documentées (main-d'œuvre, fiscalité, change, format)</t>
  </si>
  <si>
    <t xml:space="preserve">Grandeur</t>
  </si>
  <si>
    <t xml:space="preserve">Bas</t>
  </si>
  <si>
    <t xml:space="preserve">Haut</t>
  </si>
  <si>
    <t xml:space="preserve">Unité</t>
  </si>
  <si>
    <t xml:space="preserve">Tier</t>
  </si>
  <si>
    <t xml:space="preserve">Base / remarque</t>
  </si>
  <si>
    <t xml:space="preserve">Fourchette wallpaper 1770s–80s</t>
  </si>
  <si>
    <t xml:space="preserve">taels/f</t>
  </si>
  <si>
    <t xml:space="preserve">A</t>
  </si>
  <si>
    <t xml:space="preserve">Synthèse Van Dyke (hors commandes complexes 1785–86)</t>
  </si>
  <si>
    <t xml:space="preserve">Skærm (écrans)</t>
  </si>
  <si>
    <t xml:space="preserve">Fourchette 1770s–80s</t>
  </si>
  <si>
    <t xml:space="preserve">Dørstykker (dessus-de-porte)</t>
  </si>
  <si>
    <t xml:space="preserve">1776 : 2,59 · 1783 : 0,95 · 1786–87 : 0,9</t>
  </si>
  <si>
    <t xml:space="preserve">Salaire d'un manœuvre cantonais</t>
  </si>
  <si>
    <t xml:space="preserve">taels/mois</t>
  </si>
  <si>
    <t xml:space="preserve">« common labourers earned about 2 to 3 taels per month » ; 1 feuille ≈ 1 mois de salaire</t>
  </si>
  <si>
    <t xml:space="preserve">Taxe Hoppo — droit fixe</t>
  </si>
  <si>
    <t xml:space="preserve">0,030 taels par 100 pièces (zhang), tarif Hoppo 1753</t>
  </si>
  <si>
    <t xml:space="preserve">Taxe Hoppo — ad valorem</t>
  </si>
  <si>
    <t xml:space="preserve">Selon valuation fixe par feuille, tarif Hoppo 1753</t>
  </si>
  <si>
    <t xml:space="preserve">Change : tael → dollar espagnol</t>
  </si>
  <si>
    <t xml:space="preserve">$ / tael</t>
  </si>
  <si>
    <t xml:space="preserve">Conversions DAC : 904,48 t = 1 256 $ (1776) ; 1,93 t = 2,68 $ (1786)</t>
  </si>
  <si>
    <t xml:space="preserve">Format courant d'une feuille</t>
  </si>
  <si>
    <t xml:space="preserve">m²</t>
  </si>
  <si>
    <t xml:space="preserve">B</t>
  </si>
  <si>
    <t xml:space="preserve">8×3,3 covids ≈ 2,9×1,2 m ; 1 covid = 14,1 pouces (35,8 cm)</t>
  </si>
  <si>
    <t xml:space="preserve">Prix relatif chinois / européen</t>
  </si>
  <si>
    <t xml:space="preserve">×</t>
  </si>
  <si>
    <t xml:space="preserve">« about 20 times the price » — Saunders, cité par Polidori (Pitti)</t>
  </si>
  <si>
    <t xml:space="preserve">Polidori 2010, AICCM Bulletin</t>
  </si>
  <si>
    <t xml:space="preserve">—</t>
  </si>
  <si>
    <t xml:space="preserve">Paramètres du modèle — entrées ajustables</t>
  </si>
  <si>
    <t xml:space="preserve">Cellules bleues = modifiables · [A] ancre documentée · [B] estimation calibrée (méthode indiquée) · [C] hypothèse (aucune source directe)</t>
  </si>
  <si>
    <t xml:space="preserve">Paramètre</t>
  </si>
  <si>
    <t xml:space="preserve">Milieu</t>
  </si>
  <si>
    <t xml:space="preserve">Base / méthode</t>
  </si>
  <si>
    <t xml:space="preserve">Salaire manœuvre cantonais</t>
  </si>
  <si>
    <t xml:space="preserve">Van Dyke 2024 : « common labourers earned about 2 to 3 taels per month »</t>
  </si>
  <si>
    <t xml:space="preserve">Salaire peintre qualifié</t>
  </si>
  <si>
    <t xml:space="preserve">C</t>
  </si>
  <si>
    <t xml:space="preserve">Hypothèse : 1,5–2 × le salaire manœuvre (spécialisation, saisonnier)</t>
  </si>
  <si>
    <t xml:space="preserve">Jours travaillés par mois</t>
  </si>
  <si>
    <t xml:space="preserve">j/mois</t>
  </si>
  <si>
    <t xml:space="preserve">Hypothèse : travail continu pendant la saison (sept.–déc.)</t>
  </si>
  <si>
    <t xml:space="preserve">→ Salaire peintre / jour</t>
  </si>
  <si>
    <t xml:space="preserve">taels/j</t>
  </si>
  <si>
    <t xml:space="preserve">Calcul : salaire mensuel ÷ jours travaillés</t>
  </si>
  <si>
    <t xml:space="preserve">→ Salaire manœuvre / jour</t>
  </si>
  <si>
    <t xml:space="preserve">Cadence peintre — mosaïque / simple</t>
  </si>
  <si>
    <t xml:space="preserve">feuilles/j</t>
  </si>
  <si>
    <t xml:space="preserve">Calibré : atelier Seequa 5–15 f/j à plusieurs mains ; mosaïque = décor répétitif rapide</t>
  </si>
  <si>
    <t xml:space="preserve">Cadence peintre — standard</t>
  </si>
  <si>
    <t xml:space="preserve">Calibré : 8–15 f/j d'atelier ÷ ~10–15 peintres [C] ; cohérent avec délais tenus (60–111 j)</t>
  </si>
  <si>
    <t xml:space="preserve">Cadence peintre — prestige / complexe</t>
  </si>
  <si>
    <t xml:space="preserve">Calibré : Puqua seul ≈ 0,6 dørstykker fin/j (1776) ; or/argent, grands formats</t>
  </si>
  <si>
    <t xml:space="preserve">Support : feuilles jointes + 2 doublages</t>
  </si>
  <si>
    <t xml:space="preserve">Hypothèse : xuan ou mian lian + amidon + lian zhi ; aucun prix 18e s. documenté</t>
  </si>
  <si>
    <t xml:space="preserve">Préparation du fond (blanc, colle, alun)</t>
  </si>
  <si>
    <t xml:space="preserve">Hypothèse : blanc de plomb/craie/coquille + colle animale + alun ± mica (structure V&amp;A/Pitti)</t>
  </si>
  <si>
    <t xml:space="preserve">Pigments &amp; liants — simple</t>
  </si>
  <si>
    <t xml:space="preserve">Hypothèse : peu de teintes, aplats répétitifs</t>
  </si>
  <si>
    <t xml:space="preserve">Pigments &amp; liants — standard</t>
  </si>
  <si>
    <t xml:space="preserve">Hypothèse : palette végétale/minérale courante, détails au pinceau</t>
  </si>
  <si>
    <t xml:space="preserve">Pigments &amp; liants — prestige</t>
  </si>
  <si>
    <t xml:space="preserve">Hypothèse : or et argent documentés (gaze VOC 1787), azurite/malachite, fonds colorés</t>
  </si>
  <si>
    <t xml:space="preserve">Main-d'œuvre préparation (jointoiement, enduction, doublage)</t>
  </si>
  <si>
    <t xml:space="preserve">j/f</t>
  </si>
  <si>
    <t xml:space="preserve">Hypothèse : assistants au salaire manœuvre ; séchages intermédiaires</t>
  </si>
  <si>
    <t xml:space="preserve">Frais d'atelier (loyer, supervision, rebuts)</t>
  </si>
  <si>
    <t xml:space="preserve">% du direct</t>
  </si>
  <si>
    <t xml:space="preserve">Hypothèse : « a single flaw on one sheet might render that entire lot unsaleable » (Van Dyke)</t>
  </si>
  <si>
    <t xml:space="preserve">Emballage (caisse sur mesure, numérotée)</t>
  </si>
  <si>
    <t xml:space="preserve">Hypothèse : caisses documentées (12–18 par commande) réparties sur les feuilles</t>
  </si>
  <si>
    <t xml:space="preserve">Taxe Hoppo à l'export</t>
  </si>
  <si>
    <t xml:space="preserve">0,030 t/100 pièces + 0,025 t ad valorem (tarif Hoppo 1753)</t>
  </si>
  <si>
    <t xml:space="preserve">$/tael</t>
  </si>
  <si>
    <t xml:space="preserve">Conversions DAC 1776/1786 documentées</t>
  </si>
  <si>
    <t xml:space="preserve">Change : dollar → livre sterling</t>
  </si>
  <si>
    <t xml:space="preserve">£/$</t>
  </si>
  <si>
    <t xml:space="preserve">Parité usuelle 4 s 6 d = 0,225 £ (pièce de huit)</t>
  </si>
  <si>
    <t xml:space="preserve">→ Change : tael → livre sterling</t>
  </si>
  <si>
    <t xml:space="preserve">£/tael</t>
  </si>
  <si>
    <t xml:space="preserve">Calcul : tael→$ × $→£</t>
  </si>
  <si>
    <t xml:space="preserve">Note épistémologique : aucun prix du papier, des pigments ni des salaires de peintres n'est documenté pour Canton au 18e s. Seuls les PRIX DE VENTE, les volumes, les cadences d'atelier, le salaire manœuvre, la taxe Hoppo et le change sont des ancres [A]. Tout le reste est paramétré en fourchette — modifiez les cellules bleues pour tester vos propres hypothèses.</t>
  </si>
  <si>
    <t xml:space="preserve">Coût de fabrication + vente au départ de Canton, par gamme (taels / feuille)</t>
  </si>
  <si>
    <t xml:space="preserve">Périmètre : ex-works + taxe d'export — hors fret maritime, assurance et marges européennes. Tout est recalculé depuis la feuille Paramètres.</t>
  </si>
  <si>
    <t xml:space="preserve">Mosaïque / simple</t>
  </si>
  <si>
    <t xml:space="preserve">Standard</t>
  </si>
  <si>
    <t xml:space="preserve">Prestige / complexe</t>
  </si>
  <si>
    <t xml:space="preserve">Composante du coût</t>
  </si>
  <si>
    <t xml:space="preserve">Base / source</t>
  </si>
  <si>
    <t xml:space="preserve">Support papier (feuilles jointes + 2 doublages)</t>
  </si>
  <si>
    <t xml:space="preserve">Param. [C]</t>
  </si>
  <si>
    <t xml:space="preserve">Gamme</t>
  </si>
  <si>
    <t xml:space="preserve">Coût milieu</t>
  </si>
  <si>
    <t xml:space="preserve">Prix milieu</t>
  </si>
  <si>
    <t xml:space="preserve">Simple</t>
  </si>
  <si>
    <t xml:space="preserve">Pigments &amp; liants</t>
  </si>
  <si>
    <t xml:space="preserve">Main-d'œuvre peinture</t>
  </si>
  <si>
    <t xml:space="preserve">salaire/j [B] ÷ cadence [B]</t>
  </si>
  <si>
    <t xml:space="preserve">Prestige</t>
  </si>
  <si>
    <t xml:space="preserve">Main-d'œuvre préparation</t>
  </si>
  <si>
    <t xml:space="preserve">manœuvre/j [B] × jours [C]</t>
  </si>
  <si>
    <t xml:space="preserve">Sous-total coût direct</t>
  </si>
  <si>
    <t xml:space="preserve">Σ lignes 6–10</t>
  </si>
  <si>
    <t xml:space="preserve">% du direct [C]</t>
  </si>
  <si>
    <t xml:space="preserve">Emballage (caisse)</t>
  </si>
  <si>
    <t xml:space="preserve">Tarif 1753 [A]</t>
  </si>
  <si>
    <t xml:space="preserve">TOTAL coût ex-works départ Canton</t>
  </si>
  <si>
    <t xml:space="preserve">direct + frais + emballage + taxe</t>
  </si>
  <si>
    <t xml:space="preserve">Prix de vente documenté — bas</t>
  </si>
  <si>
    <t xml:space="preserve">skærm 0,4 · std 1770s–81 · prestige 1786–87 [A]</t>
  </si>
  <si>
    <t xml:space="preserve">Prix de vente documenté — haut</t>
  </si>
  <si>
    <t xml:space="preserve">mosaïque 0,74–0,8 · VOC 1780 1,8 · 1785 2,0–2,6 [A]</t>
  </si>
  <si>
    <t xml:space="preserve">Prix milieu retenu pour la marge</t>
  </si>
  <si>
    <t xml:space="preserve">milieu de la fourchette [B]</t>
  </si>
  <si>
    <t xml:space="preserve">Marge brute implicite (taels)</t>
  </si>
  <si>
    <t xml:space="preserve">prix milieu − coût total</t>
  </si>
  <si>
    <t xml:space="preserve">Marge brute implicite (% du prix)</t>
  </si>
  <si>
    <t xml:space="preserve">marge ÷ prix milieu</t>
  </si>
  <si>
    <t xml:space="preserve">Prix milieu en shillings sterling</t>
  </si>
  <si>
    <t xml:space="preserve">taels × £/tael [B] × 20</t>
  </si>
  <si>
    <t xml:space="preserve">Prix milieu en mois de salaire manœuvre</t>
  </si>
  <si>
    <t xml:space="preserve">prix ÷ salaire mensuel [A]</t>
  </si>
  <si>
    <t xml:space="preserve">Lecture : la marge implicite ne mesure pas un « profit » — elle doit couvrir 7 à 8 mois de saison morte sans commandes étrangères (Van Dyke : les peintres vivaient d'activités secondaires — soie, thé, laques), les rebuts et l'immobilisation du capital. Les colonnes reprennent les trois valeurs de chaque paramètre ; la cadence jouant en sens inverse, le cas défavorable (salaire haut × cadence basse) est testé feuille Sensibilité : le coût standard y remonte à ≈0,95 t, et à ≈1,2 t si les matériaux sont aussi au haut — au niveau ou au-delà du prix bas documenté (1,0 t). C'est la compression observée chez Anthony à 0,666 t/f (1781).</t>
  </si>
  <si>
    <t xml:space="preserve">Coût et vente par période — demande européenne et contraintes locales</t>
  </si>
  <si>
    <t xml:space="preserve">Indice de demande 0–10 [B] (ordinal, calibré sur les volumes documentés) · prix typiques : [A] documentés, [C] extrapolés — jamais de fausse précision</t>
  </si>
  <si>
    <t xml:space="preserve">Période</t>
  </si>
  <si>
    <t xml:space="preserve">Années</t>
  </si>
  <si>
    <t xml:space="preserve">Volumes documentés</t>
  </si>
  <si>
    <t xml:space="preserve">Prix documentés (taels/f)</t>
  </si>
  <si>
    <t xml:space="preserve">Prix typique retenu (taels/f)</t>
  </si>
  <si>
    <t xml:space="preserve">Indice demande (0–10) [B]</t>
  </si>
  <si>
    <t xml:space="preserve">≈ shillings / feuille</t>
  </si>
  <si>
    <t xml:space="preserve">Contraintes réglementaires</t>
  </si>
  <si>
    <t xml:space="preserve">Contraintes climatiques / logistiques</t>
  </si>
  <si>
    <t xml:space="preserve">Demande européenne</t>
  </si>
  <si>
    <t xml:space="preserve">Lecture Yangban</t>
  </si>
  <si>
    <t xml:space="preserve">P0 · Émergence</t>
  </si>
  <si>
    <t xml:space="preserve">1720–1739</t>
  </si>
  <si>
    <t xml:space="preserve">n.d. — premières mentions anglaises de « paper hangings of Indian figures » dès 1693</t>
  </si>
  <si>
    <t xml:space="preserve">n.d.</t>
  </si>
  <si>
    <t xml:space="preserve">1720 : art. 7 du règlement Cohong — les peintures restent HORS du monopole (canal « outside-shop »)</t>
  </si>
  <si>
    <t xml:space="preserve">Mousson : navires juin–août, départs déc.–fév. ; la commande suit l'arrivée des échantillons</t>
  </si>
  <si>
    <t xml:space="preserve">Mode naissante des papiers des Indes dans l'ameublement anglais et hollandais</t>
  </si>
  <si>
    <t xml:space="preserve">Avant le corpus : pas de support structuré documenté</t>
  </si>
  <si>
    <t xml:space="preserve">Indice</t>
  </si>
  <si>
    <t xml:space="preserve">P1 · Croissance</t>
  </si>
  <si>
    <t xml:space="preserve">1740–1756</t>
  </si>
  <si>
    <t xml:space="preserve">1753 : 1 000 f. commandées (VOC) — 200 livrées ; commerce au plus haut dès les années 1740 (Polidori)</t>
  </si>
  <si>
    <t xml:space="preserve">2,00 (1753, complexe) ; 0,74 (mosaïque)</t>
  </si>
  <si>
    <t xml:space="preserve">Douanes de Canton opérationnelles ; guerre de Succession d'Autriche 1744–48 : escales perturbées</t>
  </si>
  <si>
    <t xml:space="preserve">Délais saisonniers déjà contraignants : la VOC reconnaît n'avoir « pas laissé assez de temps »</t>
  </si>
  <si>
    <t xml:space="preserve">1748 : Mrs Delany admire « the finest Indian paper » (Cornbury) ; demande en expansion</t>
  </si>
  <si>
    <t xml:space="preserve">P1 Yangban : substrat xuan, encres/fond documentés au V&amp;A</t>
  </si>
  <si>
    <t xml:space="preserve">P0</t>
  </si>
  <si>
    <t xml:space="preserve">P2 · Système de Canton</t>
  </si>
  <si>
    <t xml:space="preserve">1757–1775</t>
  </si>
  <si>
    <t xml:space="preserve">1767 : 30,79 piculs (≈1,9 t) ; 1768 : 12 965 f. (FR+EIC) ; 1769 : 1 600 f. + 7 piculs</t>
  </si>
  <si>
    <t xml:space="preserve">0,72 – 1,2 (fourchette 1770s)</t>
  </si>
  <si>
    <r>
      <rPr>
        <sz val="9"/>
        <color rgb="FF666666"/>
        <rFont val="Cambria"/>
        <family val="0"/>
        <charset val="1"/>
      </rPr>
      <t xml:space="preserve">1757 : </t>
    </r>
    <r>
      <rPr>
        <sz val="9"/>
        <color rgb="FF666666"/>
        <rFont val="Noto Sans CJK SC"/>
        <family val="2"/>
      </rPr>
      <t xml:space="preserve">限关 — </t>
    </r>
    <r>
      <rPr>
        <sz val="9"/>
        <color rgb="FF666666"/>
        <rFont val="Cambria"/>
        <family val="0"/>
        <charset val="1"/>
      </rPr>
      <t xml:space="preserve">Canton seul port ouvert aux navires occidentaux ; 1759 : </t>
    </r>
    <r>
      <rPr>
        <sz val="9"/>
        <color rgb="FF666666"/>
        <rFont val="Noto Sans CJK SC"/>
        <family val="2"/>
      </rPr>
      <t xml:space="preserve">防夷五事 </t>
    </r>
    <r>
      <rPr>
        <sz val="9"/>
        <color rgb="FF666666"/>
        <rFont val="Cambria"/>
        <family val="0"/>
        <charset val="1"/>
      </rPr>
      <t xml:space="preserve">; taxe Hoppo 0,025 t/f + 0,030 t/100</t>
    </r>
  </si>
  <si>
    <t xml:space="preserve">Entonnoir logistique unique : Grand Canal → Gan → portage Meiling → Beijiang ; typhons juillet–sept.</t>
  </si>
  <si>
    <t xml:space="preserve">Guerre de Sept Ans 1756–63 ; reprise forte ensuite ; taxe britannique 1–1,5 d/yard supportable</t>
  </si>
  <si>
    <t xml:space="preserve">P2 Yangban : apogée de la production (années 1740–60)</t>
  </si>
  <si>
    <t xml:space="preserve">P1</t>
  </si>
  <si>
    <t xml:space="preserve">P3 · Apogée documenté</t>
  </si>
  <si>
    <t xml:space="preserve">1776–1793</t>
  </si>
  <si>
    <t xml:space="preserve">Milliers de feuilles/an ; DAC 1776–87 (série complète) ; VOC 1788 : 2 420 f. — dernières commandes 1787–88</t>
  </si>
  <si>
    <t xml:space="preserve">moyennes par commande : 1,03 → 2,0</t>
  </si>
  <si>
    <t xml:space="preserve">Marché concurrentiel entre peintres-boutiquiers (Lo Thunqua, Fouqua, Syqua, Anthony, Assing, Seequa)</t>
  </si>
  <si>
    <t xml:space="preserve">Saison effective de production : 3–4 mois ; cadences atelier 5–15 f/j ; travail de nuit en saison</t>
  </si>
  <si>
    <t xml:space="preserve">Guerre d'Amérique 1776–83 (France/Hollande perturbées) ; 1789 : effondrement du luxe français</t>
  </si>
  <si>
    <t xml:space="preserve">P3 Yangban : transferts par bois gravé, polychromie riche, poinçons d'atelier</t>
  </si>
  <si>
    <t xml:space="preserve">P2</t>
  </si>
  <si>
    <t xml:space="preserve">P4 · Déclin relatif</t>
  </si>
  <si>
    <t xml:space="preserve">1794–1815</t>
  </si>
  <si>
    <t xml:space="preserve">« dropping off in the 1790s » (Van Dyke) ; plus de commandes DAC/VOC documentées</t>
  </si>
  <si>
    <t xml:space="preserve">Guerres de la Révolution et de l'Empire 1793–1815 : navigation interrompue ; blocus continental</t>
  </si>
  <si>
    <t xml:space="preserve">Risque de capture en mer ; primes d'assurance élevées</t>
  </si>
  <si>
    <t xml:space="preserve">Taxe britannique sur le papier peint portée à 1 s/yard en 1809 : renchérit tout le marché</t>
  </si>
  <si>
    <t xml:space="preserve">P4 Yangban : standardisation des motifs, reprises de fonds de panier</t>
  </si>
  <si>
    <t xml:space="preserve">P3</t>
  </si>
  <si>
    <t xml:space="preserve">P5 · Stagnation</t>
  </si>
  <si>
    <t xml:space="preserve">1816–1842</t>
  </si>
  <si>
    <t xml:space="preserve">n.d. — le papier peint cède la place aux albums sur pith paper (TPQ 1820–25)</t>
  </si>
  <si>
    <t xml:space="preserve">1834 : fin du monopole EIC ; 1836 : abolition de la taxe britannique (papier britannique moins cher)</t>
  </si>
  <si>
    <t xml:space="preserve">Parcours fluvial inchangé jusqu'au chemin de fer (20e s.)</t>
  </si>
  <si>
    <t xml:space="preserve">1839 : brevet d'impression mécanique Potters &amp; Ross ; production GB ~1 M rouleaux en 1834</t>
  </si>
  <si>
    <t xml:space="preserve">P4 tardif : déclin qualitatif, supports plus minces</t>
  </si>
  <si>
    <t xml:space="preserve">P4</t>
  </si>
  <si>
    <t xml:space="preserve">P6 · Effondrement</t>
  </si>
  <si>
    <t xml:space="preserve">1843–1860</t>
  </si>
  <si>
    <t xml:space="preserve">n.d. — le papier peint peint à la main devient marginal</t>
  </si>
  <si>
    <t xml:space="preserve">1842 : traité de Nankin — fin du système de Canton, ouverture de 5 ports</t>
  </si>
  <si>
    <t xml:space="preserve">Concurrence directe Shanghai/Hong Kong sur le corridor</t>
  </si>
  <si>
    <t xml:space="preserve">1860 : ~9 M rouleaux produits en GB, jusqu'à 0,25 d/yard — l'industrie écrase le fait-main</t>
  </si>
  <si>
    <t xml:space="preserve">Fin du commerce documenté ; survivances en albums et revivals</t>
  </si>
  <si>
    <t xml:space="preserve">P5</t>
  </si>
  <si>
    <t xml:space="preserve">P6</t>
  </si>
  <si>
    <t xml:space="preserve">Prix &amp; conjoncture — série documentée et seuils de dégradation qualité [A][B][C]</t>
  </si>
  <si>
    <t xml:space="preserve">Extension v1.1 (août 2026) — appuie la Note « Prix et qualité des papiers peints de Canton » §§2–5. Prix = ancres [A] ; marges recalculées depuis « Coût par feuille » (vert) ; régimes et seuils = [B]/[C].</t>
  </si>
  <si>
    <t xml:space="preserve">1 · Série des prix documentés à l'achat à Canton [A]</t>
  </si>
  <si>
    <t xml:space="preserve">Commande / source</t>
  </si>
  <si>
    <t xml:space="preserve">Prix (taels/f)</t>
  </si>
  <si>
    <t xml:space="preserve">Indice (médiane = 1)</t>
  </si>
  <si>
    <t xml:space="preserve">Marge vs coût std milieu (t)</t>
  </si>
  <si>
    <t xml:space="preserve">Marge %</t>
  </si>
  <si>
    <t xml:space="preserve">Régime qualité requis</t>
  </si>
  <si>
    <t xml:space="preserve">VOC — gamme standard</t>
  </si>
  <si>
    <t xml:space="preserve">A · B · C</t>
  </si>
  <si>
    <t xml:space="preserve">VOC — mosaïque</t>
  </si>
  <si>
    <t xml:space="preserve">1770–79</t>
  </si>
  <si>
    <t xml:space="preserve">fourchette courante — bas</t>
  </si>
  <si>
    <t xml:space="preserve">fourchette courante — haut</t>
  </si>
  <si>
    <t xml:space="preserve">moyenne commandes DAC</t>
  </si>
  <si>
    <t xml:space="preserve">Anthony</t>
  </si>
  <si>
    <t xml:space="preserve">Assing</t>
  </si>
  <si>
    <t xml:space="preserve">Seequa</t>
  </si>
  <si>
    <t xml:space="preserve">pic conjoncturel</t>
  </si>
  <si>
    <t xml:space="preserve">haute conjoncture</t>
  </si>
  <si>
    <t xml:space="preserve">Médiane de la série</t>
  </si>
  <si>
    <t xml:space="preserve">2 · Seuils de dégradation qualité par niveau de prix [B][C] — prix bleus modifiables</t>
  </si>
  <si>
    <t xml:space="preserve">Marge (t)</t>
  </si>
  <si>
    <t xml:space="preserve">Régime</t>
  </si>
  <si>
    <t xml:space="preserve">Palette</t>
  </si>
  <si>
    <t xml:space="preserve">Fonds unis</t>
  </si>
  <si>
    <t xml:space="preserve">Métaux précieux</t>
  </si>
  <si>
    <t xml:space="preserve">3 · Matrice de cohérence conjoncturelle (Note v1.0 §5.2) [C]</t>
  </si>
  <si>
    <t xml:space="preserve">Marqueurs de qualité observés</t>
  </si>
  <si>
    <t xml:space="preserve">Conjoncture compatible</t>
  </si>
  <si>
    <t xml:space="preserve">Périodes candidates</t>
  </si>
  <si>
    <t xml:space="preserve">Polychromie riche, or/argent, fonds densément peints, grands formats</t>
  </si>
  <si>
    <t xml:space="preserve">Haute conjoncture (prix 1,8–2,6 t)</t>
  </si>
  <si>
    <t xml:space="preserve">~1753–1787</t>
  </si>
  <si>
    <t xml:space="preserve">[C]</t>
  </si>
  <si>
    <t xml:space="preserve">Palette intermédiaire, motifs courants, formats standards</t>
  </si>
  <si>
    <t xml:space="preserve">Conjoncture médiane (0,9–1,5 t)</t>
  </si>
  <si>
    <t xml:space="preserve">années 1770–1790</t>
  </si>
  <si>
    <t xml:space="preserve">Palette ≤ 4 teintes, motifs simplifiés, fonds unis élargis, aucun métal</t>
  </si>
  <si>
    <t xml:space="preserve">Basse conjoncture / contraction (≤ 0,7–0,9 t)</t>
  </si>
  <si>
    <t xml:space="preserve">crise 1781 · années 1790+ · post-1840</t>
  </si>
  <si>
    <t xml:space="preserve">Lecture : les prix de la section 1 sont des ancres [A] (Van Dyke 2024) ; marges recalculées en vert depuis « Coût par feuille »!H15 (coût standard milieu) ; régimes, seuils et matrice = estimations [B] / hypothèses [C] — cf. Note v1.0 §§4–5. Le critère de datation reste probabiliste et à valider (protocole, étape 3).</t>
  </si>
  <si>
    <t xml:space="preserve">Négoce européen — prix de transfert, marchés et prix de vente final [A][B][C]</t>
  </si>
  <si>
    <t xml:space="preserve">Extension v1.2 (août 2026) — prolonge « Prix &amp; conjoncture » en aval : Canton (ex-works) → fret/assurance → enchères de compagnie → distribution → prix final. Ancres [A] : commission EIC 15 %, prix Croome/Woburn, seuil VOC 40 %, ventes de Lorient. Fret, assurance et marges de détail = [C] (aucune source directe — cellules bleues ajustables).</t>
  </si>
  <si>
    <t xml:space="preserve">1 · Ancres documentées du négoce européen [A]</t>
  </si>
  <si>
    <t xml:space="preserve">Marché</t>
  </si>
  <si>
    <t xml:space="preserve">Fait documenté</t>
  </si>
  <si>
    <t xml:space="preserve">Valeur</t>
  </si>
  <si>
    <t xml:space="preserve">Londres (EIC)</t>
  </si>
  <si>
    <t xml:space="preserve">Papier peint = « privilege trade » privé des officiers/capitaines — jamais commerce officiel de la Compagnie</t>
  </si>
  <si>
    <t xml:space="preserve">structure</t>
  </si>
  <si>
    <t xml:space="preserve">UCL, « Chinese Wallpaper: an Elusive Element in the British Country House » (East India Company at Home)</t>
  </si>
  <si>
    <t xml:space="preserve">Vente obligatoire aux enchères East India House, Leadenhall Street (« by inch of candle »), après inspection et paiement des droits</t>
  </si>
  <si>
    <t xml:space="preserve">idem</t>
  </si>
  <si>
    <t xml:space="preserve">Commission d’enchères prélevée sur les prix réalisés</t>
  </si>
  <si>
    <t xml:space="preserve">15 % (parfois davantage)</t>
  </si>
  <si>
    <t xml:space="preserve">Londres</t>
  </si>
  <si>
    <t xml:space="preserve">Croome Court 1763 : 29 « fine India landscapes » pour Lord Coventry</t>
  </si>
  <si>
    <t xml:space="preserve">£2 2s / panneau (total £60 18s)</t>
  </si>
  <si>
    <t xml:space="preserve">Woburn 1751–52 : papier chinois fourni par Crompton &amp; Spinnage (marchands de papier peint)</t>
  </si>
  <si>
    <t xml:space="preserve">£60 13s 10d</t>
  </si>
  <si>
    <t xml:space="preserve">Pays Bas (VOC)</t>
  </si>
  <si>
    <t xml:space="preserve">Ventes aux enchères à Amsterdam / Middelburg ; seuil de rentabilité observé (réf. porcelaine)</t>
  </si>
  <si>
    <t xml:space="preserve">≥ 40 % de profit, sinon retrait du produit</t>
  </si>
  <si>
    <t xml:space="preserve">A (réf.)</t>
  </si>
  <si>
    <t xml:space="preserve">aziatischekeramiek.nl — « The VOC’s porcelain trade »</t>
  </si>
  <si>
    <t xml:space="preserve">France</t>
  </si>
  <si>
    <t xml:space="preserve">Volumes importés par la Compagnie des Indes</t>
  </si>
  <si>
    <t xml:space="preserve">600–1 200 f/an (1730–40) ; ≤ 3 600 f/an (1750–1773)</t>
  </si>
  <si>
    <t xml:space="preserve">AGORHA/INHA — AN, col. C/1, C/2 ; SHD Lorient 1 P</t>
  </si>
  <si>
    <t xml:space="preserve">Lieux de vente successifs de la Compagnie</t>
  </si>
  <si>
    <t xml:space="preserve">Le Havre 1669–73 · La Rochelle 1674 (médiocre) · Rouen 1676–88 · Nantes 1689–1734 · Lorient 1735–Révolution (ventes sept.–oct.)</t>
  </si>
  <si>
    <t xml:space="preserve">Conditionnement au départ de Canton</t>
  </si>
  <si>
    <t xml:space="preserve">rouleaux ou paquets de 10 feuilles, en caisses</t>
  </si>
  <si>
    <t xml:space="preserve">Paris</t>
  </si>
  <si>
    <t xml:space="preserve">Débit au détail (porcelaines, laques, papiers peints)</t>
  </si>
  <si>
    <t xml:space="preserve">réservé à la corporation des marchands merciers</t>
  </si>
  <si>
    <t xml:space="preserve">2 · Chaîne de valeur paramétrique par marché — cellules bleues modifiables [C]</t>
  </si>
  <si>
    <t xml:space="preserve">Étape</t>
  </si>
  <si>
    <t xml:space="preserve">Pays Bas (Amsterdam)</t>
  </si>
  <si>
    <t xml:space="preserve">France (Lorient → Paris)</t>
  </si>
  <si>
    <t xml:space="preserve">Prix d'achat à Canton (taels/f)</t>
  </si>
  <si>
    <t xml:space="preserve">Défaut = médiane de la série documentée 1753–1787 (1,334 t — « Prix &amp; conjoncture » C17) ; remplacez par un prix de commande [A]</t>
  </si>
  <si>
    <t xml:space="preserve">→ équivalent sterling (£/f)</t>
  </si>
  <si>
    <t xml:space="preserve">Change tael → £ (Paramètres D25 : 1 t = 1,39 $ × 0,225 £/$ = 0,31275 £) [A/B]</t>
  </si>
  <si>
    <t xml:space="preserve">Fret + assurance (% du prix)</t>
  </si>
  <si>
    <t xml:space="preserve">Aucune source directe : papier léger en caisses, souvent porté en privilège par les officiers — hypothèse prudente, ajustable</t>
  </si>
  <si>
    <t xml:space="preserve">Coût rendu port européen (£/f)</t>
  </si>
  <si>
    <t xml:space="preserve">calc</t>
  </si>
  <si>
    <t xml:space="preserve">prix £ × (1 + fret/assurance)</t>
  </si>
  <si>
    <t xml:space="preserve">Commission / frais de vente (%)</t>
  </si>
  <si>
    <t xml:space="preserve">A / C</t>
  </si>
  <si>
    <t xml:space="preserve">Londres : 15 % documenté (enchères East India House) [A] — Pays Bas &amp; France : hypothèse [C] (ventes de la Compagnie, frais propres)</t>
  </si>
  <si>
    <t xml:space="preserve">Marge du négoce importateur (%)</t>
  </si>
  <si>
    <t xml:space="preserve">Calibré : seuil VOC documenté pour la porcelaine (&lt; 40 % de profit → retrait du produit) appliqué par analogie [B]</t>
  </si>
  <si>
    <t xml:space="preserve">Prix de gros aux enchères (£/f)</t>
  </si>
  <si>
    <t xml:space="preserve">coût rendu majoré de la marge importateur, net de commission</t>
  </si>
  <si>
    <t xml:space="preserve">Marge détaillant / tapissier (%)</t>
  </si>
  <si>
    <t xml:space="preserve">Aucune source directe — merciers (Paris), paper-hangers et fournisseurs (Londres), pose éventuelle ; hypothèse ajustable</t>
  </si>
  <si>
    <t xml:space="preserve">Prix de vente final (£/f)</t>
  </si>
  <si>
    <t xml:space="preserve">prix de gros × (1 + marge détail)</t>
  </si>
  <si>
    <t xml:space="preserve">Multiplicateur vs prix d’achat Canton (×)</t>
  </si>
  <si>
    <t xml:space="preserve">prix final ÷ prix d’achat (en £)</t>
  </si>
  <si>
    <t xml:space="preserve">3 · Calibration sur un prix final documenté [A]</t>
  </si>
  <si>
    <t xml:space="preserve">Repère</t>
  </si>
  <si>
    <t xml:space="preserve">Base</t>
  </si>
  <si>
    <t xml:space="preserve">Prix final documenté — Croome Court 1763 (£/panneau)</t>
  </si>
  <si>
    <t xml:space="preserve">« 29 fine India landscapes » à £2 2s chacune, total £60 18s (facture Lord Coventry) [A]</t>
  </si>
  <si>
    <t xml:space="preserve">Prix d'achat médian Canton (équiv. £)</t>
  </si>
  <si>
    <t xml:space="preserve">médiane documentée × change (ligne 21)</t>
  </si>
  <si>
    <t xml:space="preserve">Multiplicateur documenté Canton → final (×)</t>
  </si>
  <si>
    <t xml:space="preserve">A/B</t>
  </si>
  <si>
    <t xml:space="preserve">Croome ÷ médiane Canton</t>
  </si>
  <si>
    <t xml:space="preserve">Prix final calculé (chaîne par défaut, Londres)</t>
  </si>
  <si>
    <t xml:space="preserve">ligne 28</t>
  </si>
  <si>
    <t xml:space="preserve">Écart chaîne par défaut vs documenté (%)</t>
  </si>
  <si>
    <t xml:space="preserve">la chaîne par défaut est prudente ; rapprochez en ajustant fret/marges [C]</t>
  </si>
  <si>
    <t xml:space="preserve">Croome = panneaux « fine India landscapes » (format vraisemblablement non standard) : comparaison d’ordre de grandeur, pas d’équivalence stricte. [B]</t>
  </si>
  <si>
    <t xml:space="preserve">4 · Lecture économique [C]</t>
  </si>
  <si>
    <t xml:space="preserve">Les marges se forment en Europe : prix final ≈ 3–10 × le prix d’achat cantonais (× 5,0 documenté à Croome 1763 ; chaîne par défaut ≈ × 2,8 — volontairement prudente).</t>
  </si>
  <si>
    <t xml:space="preserve">La compression des prix à Canton (crise 1781, cf. « Prix &amp; conjoncture ») frappe les ateliers cantonais, non le négoce européen : mécanisme de dégradation qualité de la Note « Prix et qualité » §4.</t>
  </si>
  <si>
    <t xml:space="preserve">Paris = extension aval du marché de Lorient via les merciers (pas de vente publique parisienne de la Compagnie) ; La Rochelle écarté après l’échec de la vente de 1674 ; Pays Bas : déclin des commandes après 1788 (dernière commande VOC).</t>
  </si>
  <si>
    <t xml:space="preserve">Tests de sensibilité — gamme standard</t>
  </si>
  <si>
    <t xml:space="preserve">Toutes les cellules sont recalculées : modifiez Paramètres et les grilles suivent.</t>
  </si>
  <si>
    <t xml:space="preserve">1 · Coût total ex-works (taels/feuille) = f(salaire peintre × cadence)</t>
  </si>
  <si>
    <t xml:space="preserve">salaire \ cadence (f/j)</t>
  </si>
  <si>
    <t xml:space="preserve">Autres composantes au milieu (Paramètres col. D) ; marge d'atelier, emballage, taxe inclus.</t>
  </si>
  <si>
    <t xml:space="preserve">2 · Marge brute (% du prix) = f(prix de vente × scénario de coût)</t>
  </si>
  <si>
    <t xml:space="preserve">prix \ coût</t>
  </si>
  <si>
    <t xml:space="preserve">Coût bas</t>
  </si>
  <si>
    <t xml:space="preserve">Coût haut</t>
  </si>
  <si>
    <t xml:space="preserve">coût (taels) →</t>
  </si>
  <si>
    <t xml:space="preserve">Prix 1,0–1,5 t = fourchette documentée 1770s–81 [A]. Coût haut × prix bas : marge comprimée à ~8 % — insoutenable</t>
  </si>
  <si>
    <t xml:space="preserve">sur une saison de 4 mois : les peintres refusaient ou dégradaient la qualité — cf. Anthony à 0,666 t/f (1781).</t>
  </si>
  <si>
    <t xml:space="preserve">Sources et statut de chaque donnée</t>
  </si>
  <si>
    <t xml:space="preserve">Aucune valeur sans source n'entre dans les ancres ; les paramètres [C] sont des hypothèses explicitement non sourcées.</t>
  </si>
  <si>
    <t xml:space="preserve">Données utilisées dans le modèle</t>
  </si>
  <si>
    <t xml:space="preserve">Van Dyke, Paul A. — « The Peak of the Export Painting Market in Canton 1770s–1780s », Review of Culture 76, ICM Macao, 2024</t>
  </si>
  <si>
    <t xml:space="preserve">TOUS les prix par commande 1753–1788 · volumes 1767–69 · cadences et délais · salaire manœuvre 2–3 t/mois · taxes Hoppo 1753 · change tael→$ · saisonnalité juin–août / déc.–fév. · déclin des années 1790</t>
  </si>
  <si>
    <t xml:space="preserve">Polidori, F. — « From Canton with Love », AICCM Bulletin 2010 (palais Pitti)</t>
  </si>
  <si>
    <t xml:space="preserve">Rapport ≈20× vs papiers européens · structure laminate 7 couches · apogée du commerce 1740–1790s</t>
  </si>
  <si>
    <t xml:space="preserve">https://aiccm.org.au/conference-proceedings/from-canton-with-love-historic-investigation-and-conservation-treatment-of-chinese-export-paintings-from-the-pitti-palace-museum-of-florence/aiccm_bp2010_polidori_p64-71/</t>
  </si>
  <si>
    <t xml:space="preserve">V&amp;A — « A brief history of wallpaper »</t>
  </si>
  <si>
    <t xml:space="preserve">Taxe britannique 1 d/yard (1712), 1,5 d (1714), 1,75 d (1777) · brevet machine Potters &amp; Ross 1839 · production GB 1 M (1834) → 9 M rouleaux (1860), jusqu'à 0,25 d/yard</t>
  </si>
  <si>
    <t xml:space="preserve">https://www.vam.ac.uk/articles/a-brief-history-of-wallpaper</t>
  </si>
  <si>
    <t xml:space="preserve">Wikipedia — « Wallpaper tax » (recoupement)</t>
  </si>
  <si>
    <t xml:space="preserve">Portée à 1 s/yard en 1809 · abolition 1836</t>
  </si>
  <si>
    <t xml:space="preserve">https://en.wikipedia.org/wiki/Wallpaper_tax</t>
  </si>
  <si>
    <t xml:space="preserve">Christie's, lot 184939 (notice) — recoupement</t>
  </si>
  <si>
    <t xml:space="preserve">Citation Mrs Delany 1748 « the finest Indian paper » (Cornbury) ; publicité London Gazette 1693</t>
  </si>
  <si>
    <t xml:space="preserve">https://www.christies.com.cn/en/lot/lot-184939</t>
  </si>
  <si>
    <t xml:space="preserve">Van Dyke, Paul A. — série ICM Review of Culture sur le commerce de Canton (recherches précédentes du projet)</t>
  </si>
  <si>
    <r>
      <rPr>
        <sz val="9"/>
        <color rgb="FF666666"/>
        <rFont val="Cambria"/>
        <family val="0"/>
        <charset val="1"/>
      </rPr>
      <t xml:space="preserve">1720 : art. 7 Cohong (peintures hors monopole) · 1757 : </t>
    </r>
    <r>
      <rPr>
        <sz val="9"/>
        <color rgb="FF666666"/>
        <rFont val="Noto Sans CJK SC"/>
        <family val="2"/>
      </rPr>
      <t xml:space="preserve">限关 </t>
    </r>
    <r>
      <rPr>
        <sz val="9"/>
        <color rgb="FF666666"/>
        <rFont val="Cambria"/>
        <family val="0"/>
        <charset val="1"/>
      </rPr>
      <t xml:space="preserve">· 1759 : </t>
    </r>
    <r>
      <rPr>
        <sz val="9"/>
        <color rgb="FF666666"/>
        <rFont val="Noto Sans CJK SC"/>
        <family val="2"/>
      </rPr>
      <t xml:space="preserve">防夷五事 </t>
    </r>
    <r>
      <rPr>
        <sz val="9"/>
        <color rgb="FF666666"/>
        <rFont val="Cambria"/>
        <family val="0"/>
        <charset val="1"/>
      </rPr>
      <t xml:space="preserve">· 1842 : traité de Nankin</t>
    </r>
  </si>
  <si>
    <t xml:space="preserve">http://www.icm.gov.mo/rc/viewer/20006/840</t>
  </si>
  <si>
    <t xml:space="preserve">Documents internes du projet Wallpaper Canton</t>
  </si>
  <si>
    <t xml:space="preserve">Analyse critique des 3 documents téléversés (audit E1–E14) · périodisation Yangban P1–P4 · TPQ pith paper 1820–25</t>
  </si>
</sst>
</file>

<file path=xl/styles.xml><?xml version="1.0" encoding="utf-8"?>
<styleSheet xmlns="http://schemas.openxmlformats.org/spreadsheetml/2006/main">
  <numFmts count="9">
    <numFmt numFmtId="164" formatCode="General"/>
    <numFmt numFmtId="165" formatCode="0.00"/>
    <numFmt numFmtId="166" formatCode="0%"/>
    <numFmt numFmtId="167" formatCode="0.0"/>
    <numFmt numFmtId="168" formatCode="0"/>
    <numFmt numFmtId="169" formatCode="#,##0"/>
    <numFmt numFmtId="170" formatCode="#,##0.0"/>
    <numFmt numFmtId="171" formatCode="0.000"/>
    <numFmt numFmtId="172" formatCode="0.0%"/>
  </numFmts>
  <fonts count="32">
    <font>
      <sz val="11"/>
      <color rgb="FF000000"/>
      <name val="Calibri"/>
      <family val="2"/>
      <charset val="1"/>
    </font>
    <font>
      <sz val="10"/>
      <name val="Arial"/>
      <family val="0"/>
    </font>
    <font>
      <sz val="10"/>
      <name val="Arial"/>
      <family val="0"/>
    </font>
    <font>
      <sz val="10"/>
      <name val="Arial"/>
      <family val="0"/>
    </font>
    <font>
      <b val="true"/>
      <sz val="16"/>
      <color rgb="FF122B49"/>
      <name val="Cambria"/>
      <family val="0"/>
      <charset val="1"/>
    </font>
    <font>
      <sz val="11"/>
      <color rgb="FF555555"/>
      <name val="Cambria"/>
      <family val="0"/>
      <charset val="1"/>
    </font>
    <font>
      <b val="true"/>
      <sz val="10"/>
      <color rgb="FFFFFFFF"/>
      <name val="Cambria"/>
      <family val="0"/>
      <charset val="1"/>
    </font>
    <font>
      <sz val="10"/>
      <name val="Cambria"/>
      <family val="0"/>
      <charset val="1"/>
    </font>
    <font>
      <b val="true"/>
      <sz val="10"/>
      <name val="Cambria"/>
      <family val="0"/>
      <charset val="1"/>
    </font>
    <font>
      <sz val="10"/>
      <color rgb="FF1E7B34"/>
      <name val="Cambria"/>
      <family val="0"/>
      <charset val="1"/>
    </font>
    <font>
      <sz val="10"/>
      <color rgb="FF000000"/>
      <name val="Cambria"/>
      <family val="0"/>
      <charset val="1"/>
    </font>
    <font>
      <sz val="9"/>
      <color rgb="FF666666"/>
      <name val="Cambria"/>
      <family val="0"/>
      <charset val="1"/>
    </font>
    <font>
      <sz val="9"/>
      <color rgb="FF000000"/>
      <name val="Cambria"/>
      <family val="0"/>
      <charset val="1"/>
    </font>
    <font>
      <sz val="10"/>
      <color rgb="FF0066CC"/>
      <name val="Cambria"/>
      <family val="0"/>
      <charset val="1"/>
    </font>
    <font>
      <b val="true"/>
      <sz val="18"/>
      <color rgb="FF000000"/>
      <name val="Calibri"/>
      <family val="2"/>
    </font>
    <font>
      <sz val="10"/>
      <color rgb="FF000000"/>
      <name val="Calibri"/>
      <family val="2"/>
    </font>
    <font>
      <b val="true"/>
      <sz val="10"/>
      <color rgb="FF000000"/>
      <name val="Calibri"/>
      <family val="2"/>
    </font>
    <font>
      <sz val="9"/>
      <color rgb="FF666666"/>
      <name val="Noto Sans CJK SC"/>
      <family val="2"/>
    </font>
    <font>
      <b val="true"/>
      <sz val="14"/>
      <color rgb="FF122B49"/>
      <name val="Cambria"/>
      <family val="0"/>
      <charset val="1"/>
    </font>
    <font>
      <i val="true"/>
      <sz val="9"/>
      <color rgb="FF555555"/>
      <name val="Cambria"/>
      <family val="0"/>
      <charset val="1"/>
    </font>
    <font>
      <b val="true"/>
      <sz val="11"/>
      <color rgb="FFFFFFFF"/>
      <name val="Cambria"/>
      <family val="0"/>
      <charset val="1"/>
    </font>
    <font>
      <b val="true"/>
      <sz val="9"/>
      <color rgb="FF122B49"/>
      <name val="Cambria"/>
      <family val="0"/>
      <charset val="1"/>
    </font>
    <font>
      <sz val="11"/>
      <color rgb="FF1E7B34"/>
      <name val="Cambria"/>
      <family val="0"/>
      <charset val="1"/>
    </font>
    <font>
      <sz val="8"/>
      <color rgb="FF777777"/>
      <name val="Cambria"/>
      <family val="0"/>
      <charset val="1"/>
    </font>
    <font>
      <b val="true"/>
      <sz val="11"/>
      <name val="Cambria"/>
      <family val="0"/>
      <charset val="1"/>
    </font>
    <font>
      <b val="true"/>
      <sz val="11"/>
      <color rgb="FF0B3D91"/>
      <name val="Cambria"/>
      <family val="0"/>
      <charset val="1"/>
    </font>
    <font>
      <sz val="9"/>
      <color rgb="FF555555"/>
      <name val="Cambria"/>
      <family val="0"/>
      <charset val="1"/>
    </font>
    <font>
      <b val="true"/>
      <sz val="10"/>
      <color rgb="FF122B49"/>
      <name val="Cambria"/>
      <family val="0"/>
      <charset val="1"/>
    </font>
    <font>
      <sz val="11"/>
      <color rgb="FF000000"/>
      <name val="Cambria"/>
      <family val="0"/>
      <charset val="1"/>
    </font>
    <font>
      <b val="true"/>
      <sz val="10"/>
      <color rgb="FF000000"/>
      <name val="Cambria"/>
      <family val="0"/>
      <charset val="1"/>
    </font>
    <font>
      <b val="true"/>
      <sz val="11"/>
      <color rgb="FF1E7B34"/>
      <name val="Cambria"/>
      <family val="0"/>
      <charset val="1"/>
    </font>
    <font>
      <b val="true"/>
      <sz val="11"/>
      <color rgb="FF000000"/>
      <name val="Cambria"/>
      <family val="0"/>
      <charset val="1"/>
    </font>
  </fonts>
  <fills count="9">
    <fill>
      <patternFill patternType="none"/>
    </fill>
    <fill>
      <patternFill patternType="gray125"/>
    </fill>
    <fill>
      <patternFill patternType="solid">
        <fgColor rgb="FF122B49"/>
        <bgColor rgb="FF003300"/>
      </patternFill>
    </fill>
    <fill>
      <patternFill patternType="solid">
        <fgColor rgb="FFD9E2F3"/>
        <bgColor rgb="FFD9D9D9"/>
      </patternFill>
    </fill>
    <fill>
      <patternFill patternType="solid">
        <fgColor rgb="FFFFF3E0"/>
        <bgColor rgb="FFF5F5F5"/>
      </patternFill>
    </fill>
    <fill>
      <patternFill patternType="solid">
        <fgColor rgb="FFF5F5F5"/>
        <bgColor rgb="FFF9F9F9"/>
      </patternFill>
    </fill>
    <fill>
      <patternFill patternType="solid">
        <fgColor rgb="FFF9F9F9"/>
        <bgColor rgb="FFF5F5F5"/>
      </patternFill>
    </fill>
    <fill>
      <patternFill patternType="solid">
        <fgColor rgb="FF274C77"/>
        <bgColor rgb="FF0B3D91"/>
      </patternFill>
    </fill>
    <fill>
      <patternFill patternType="solid">
        <fgColor rgb="FFECF0F1"/>
        <bgColor rgb="FFF5F5F5"/>
      </patternFill>
    </fill>
  </fills>
  <borders count="4">
    <border diagonalUp="false" diagonalDown="false">
      <left/>
      <right/>
      <top/>
      <bottom/>
      <diagonal/>
    </border>
    <border diagonalUp="false" diagonalDown="false">
      <left style="thin">
        <color rgb="FFD0D0D0"/>
      </left>
      <right/>
      <top style="thin">
        <color rgb="FFD0D0D0"/>
      </top>
      <bottom style="thin">
        <color rgb="FFD0D0D0"/>
      </bottom>
      <diagonal/>
    </border>
    <border diagonalUp="false" diagonalDown="false">
      <left style="thin">
        <color rgb="FFD0D0D0"/>
      </left>
      <right style="thin">
        <color rgb="FFD0D0D0"/>
      </right>
      <top style="thin">
        <color rgb="FFD0D0D0"/>
      </top>
      <bottom style="thin">
        <color rgb="FFD0D0D0"/>
      </bottom>
      <diagonal/>
    </border>
    <border diagonalUp="false" diagonalDown="false">
      <left style="thin">
        <color rgb="FFB9B4A8"/>
      </left>
      <right style="thin">
        <color rgb="FFB9B4A8"/>
      </right>
      <top style="thin">
        <color rgb="FFB9B4A8"/>
      </top>
      <bottom style="thin">
        <color rgb="FFB9B4A8"/>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16">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2" borderId="1" xfId="0" applyFont="true" applyBorder="true" applyAlignment="true" applyProtection="false">
      <alignment horizontal="general" vertical="center" textRotation="0" wrapText="false" indent="0" shrinkToFit="false"/>
      <protection locked="true" hidden="false"/>
    </xf>
    <xf numFmtId="164" fontId="7" fillId="0" borderId="2" xfId="0" applyFont="true" applyBorder="true" applyAlignment="true" applyProtection="false">
      <alignment horizontal="general" vertical="center" textRotation="0" wrapText="false" indent="0" shrinkToFit="false"/>
      <protection locked="true" hidden="false"/>
    </xf>
    <xf numFmtId="164" fontId="8" fillId="3" borderId="2" xfId="0" applyFont="true" applyBorder="true" applyAlignment="true" applyProtection="false">
      <alignment horizontal="left" vertical="center" textRotation="0" wrapText="false" indent="0" shrinkToFit="false"/>
      <protection locked="true" hidden="false"/>
    </xf>
    <xf numFmtId="164" fontId="8" fillId="3" borderId="2" xfId="0" applyFont="true" applyBorder="true" applyAlignment="true" applyProtection="false">
      <alignment horizontal="center" vertical="center" textRotation="0" wrapText="false" indent="0" shrinkToFit="false"/>
      <protection locked="true" hidden="false"/>
    </xf>
    <xf numFmtId="164" fontId="0" fillId="0" borderId="2" xfId="0" applyFont="false" applyBorder="true" applyAlignment="true" applyProtection="false">
      <alignment horizontal="general" vertical="bottom" textRotation="0" wrapText="false" indent="0" shrinkToFit="false"/>
      <protection locked="true" hidden="false"/>
    </xf>
    <xf numFmtId="165" fontId="9" fillId="4" borderId="2" xfId="0" applyFont="true" applyBorder="true" applyAlignment="true" applyProtection="false">
      <alignment horizontal="right" vertical="center" textRotation="0" wrapText="false" indent="0" shrinkToFit="false"/>
      <protection locked="true" hidden="false"/>
    </xf>
    <xf numFmtId="164" fontId="8" fillId="4" borderId="2" xfId="0" applyFont="true" applyBorder="true" applyAlignment="true" applyProtection="false">
      <alignment horizontal="center" vertical="center" textRotation="0" wrapText="false" indent="0" shrinkToFit="false"/>
      <protection locked="true" hidden="false"/>
    </xf>
    <xf numFmtId="166" fontId="9" fillId="4" borderId="2" xfId="0" applyFont="true" applyBorder="true" applyAlignment="true" applyProtection="false">
      <alignment horizontal="right" vertical="center" textRotation="0" wrapText="false" indent="0" shrinkToFit="false"/>
      <protection locked="true" hidden="false"/>
    </xf>
    <xf numFmtId="167" fontId="9" fillId="3" borderId="2" xfId="0" applyFont="true" applyBorder="true" applyAlignment="true" applyProtection="false">
      <alignment horizontal="right" vertical="center" textRotation="0" wrapText="fals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8" fillId="3" borderId="2" xfId="0" applyFont="true" applyBorder="true" applyAlignment="true" applyProtection="false">
      <alignment horizontal="general" vertical="center" textRotation="0" wrapText="false" indent="0" shrinkToFit="false"/>
      <protection locked="true" hidden="false"/>
    </xf>
    <xf numFmtId="164" fontId="11" fillId="0" borderId="2" xfId="0" applyFont="true" applyBorder="true" applyAlignment="true" applyProtection="false">
      <alignment horizontal="general" vertical="center" textRotation="0" wrapText="false" indent="0" shrinkToFit="false"/>
      <protection locked="true" hidden="false"/>
    </xf>
    <xf numFmtId="164" fontId="8" fillId="4" borderId="2" xfId="0" applyFont="true" applyBorder="true" applyAlignment="true" applyProtection="false">
      <alignment horizontal="general" vertical="center" textRotation="0" wrapText="false" indent="0" shrinkToFit="false"/>
      <protection locked="true" hidden="false"/>
    </xf>
    <xf numFmtId="164" fontId="8" fillId="5" borderId="2" xfId="0" applyFont="true" applyBorder="true" applyAlignment="true" applyProtection="false">
      <alignment horizontal="general" vertical="center" textRotation="0" wrapText="false" indent="0" shrinkToFit="false"/>
      <protection locked="true" hidden="false"/>
    </xf>
    <xf numFmtId="164" fontId="8" fillId="0" borderId="2" xfId="0" applyFont="true" applyBorder="true" applyAlignment="true" applyProtection="false">
      <alignment horizontal="general" vertical="center" textRotation="0" wrapText="false" indent="0" shrinkToFit="false"/>
      <protection locked="true" hidden="false"/>
    </xf>
    <xf numFmtId="164" fontId="8" fillId="6" borderId="2" xfId="0" applyFont="true" applyBorder="true" applyAlignment="true" applyProtection="false">
      <alignment horizontal="general" vertical="center" textRotation="0" wrapText="false" indent="0" shrinkToFit="false"/>
      <protection locked="true" hidden="false"/>
    </xf>
    <xf numFmtId="164" fontId="11" fillId="6" borderId="2" xfId="0" applyFont="true" applyBorder="true" applyAlignment="true" applyProtection="false">
      <alignment horizontal="general" vertical="center"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2" fillId="0" borderId="0" xfId="0" applyFont="true" applyBorder="true" applyAlignment="true" applyProtection="false">
      <alignment horizontal="general" vertical="top" textRotation="0" wrapText="true" indent="0" shrinkToFit="false"/>
      <protection locked="true" hidden="false"/>
    </xf>
    <xf numFmtId="164" fontId="6" fillId="7" borderId="1" xfId="0" applyFont="true" applyBorder="true" applyAlignment="true" applyProtection="false">
      <alignment horizontal="general" vertical="center" textRotation="0" wrapText="false" indent="0" shrinkToFit="false"/>
      <protection locked="true" hidden="false"/>
    </xf>
    <xf numFmtId="164" fontId="8" fillId="0" borderId="0" xfId="0" applyFont="true" applyBorder="false" applyAlignment="true" applyProtection="false">
      <alignment horizontal="general" vertical="center" textRotation="0" wrapText="fals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6" fillId="2" borderId="2" xfId="0" applyFont="true" applyBorder="true" applyAlignment="true" applyProtection="false">
      <alignment horizontal="general" vertical="center" textRotation="0" wrapText="false" indent="0" shrinkToFit="false"/>
      <protection locked="true" hidden="false"/>
    </xf>
    <xf numFmtId="168" fontId="13" fillId="0" borderId="2" xfId="0" applyFont="true" applyBorder="true" applyAlignment="true" applyProtection="false">
      <alignment horizontal="general" vertical="center" textRotation="0" wrapText="false" indent="0" shrinkToFit="false"/>
      <protection locked="true" hidden="false"/>
    </xf>
    <xf numFmtId="169" fontId="13" fillId="0" borderId="2" xfId="0" applyFont="true" applyBorder="true" applyAlignment="true" applyProtection="false">
      <alignment horizontal="general" vertical="center" textRotation="0" wrapText="false" indent="0" shrinkToFit="false"/>
      <protection locked="true" hidden="false"/>
    </xf>
    <xf numFmtId="165" fontId="13" fillId="0" borderId="2" xfId="0" applyFont="true" applyBorder="true" applyAlignment="true" applyProtection="false">
      <alignment horizontal="general" vertical="center" textRotation="0" wrapText="false" indent="0" shrinkToFit="false"/>
      <protection locked="true" hidden="false"/>
    </xf>
    <xf numFmtId="165" fontId="10" fillId="0" borderId="2" xfId="0" applyFont="true" applyBorder="true" applyAlignment="true" applyProtection="false">
      <alignment horizontal="general" vertical="center" textRotation="0" wrapText="false" indent="0" shrinkToFit="false"/>
      <protection locked="true" hidden="false"/>
    </xf>
    <xf numFmtId="168" fontId="13" fillId="6" borderId="2" xfId="0" applyFont="true" applyBorder="true" applyAlignment="true" applyProtection="false">
      <alignment horizontal="general" vertical="center" textRotation="0" wrapText="false" indent="0" shrinkToFit="false"/>
      <protection locked="true" hidden="false"/>
    </xf>
    <xf numFmtId="164" fontId="7" fillId="6" borderId="2" xfId="0" applyFont="true" applyBorder="true" applyAlignment="true" applyProtection="false">
      <alignment horizontal="general" vertical="center" textRotation="0" wrapText="false" indent="0" shrinkToFit="false"/>
      <protection locked="true" hidden="false"/>
    </xf>
    <xf numFmtId="169" fontId="13" fillId="6" borderId="2" xfId="0" applyFont="true" applyBorder="true" applyAlignment="true" applyProtection="false">
      <alignment horizontal="general" vertical="center" textRotation="0" wrapText="false" indent="0" shrinkToFit="false"/>
      <protection locked="true" hidden="false"/>
    </xf>
    <xf numFmtId="165" fontId="13" fillId="6" borderId="2" xfId="0" applyFont="true" applyBorder="true" applyAlignment="true" applyProtection="false">
      <alignment horizontal="general" vertical="center" textRotation="0" wrapText="false" indent="0" shrinkToFit="false"/>
      <protection locked="true" hidden="false"/>
    </xf>
    <xf numFmtId="170" fontId="13" fillId="0" borderId="2" xfId="0" applyFont="true" applyBorder="true" applyAlignment="true" applyProtection="false">
      <alignment horizontal="general" vertical="center" textRotation="0" wrapText="false" indent="0" shrinkToFit="false"/>
      <protection locked="true" hidden="false"/>
    </xf>
    <xf numFmtId="170" fontId="13" fillId="6" borderId="2" xfId="0" applyFont="true" applyBorder="true" applyAlignment="true" applyProtection="false">
      <alignment horizontal="general" vertical="center" textRotation="0" wrapText="false" indent="0" shrinkToFit="false"/>
      <protection locked="true" hidden="false"/>
    </xf>
    <xf numFmtId="165" fontId="10" fillId="6" borderId="2" xfId="0" applyFont="true" applyBorder="true" applyAlignment="true" applyProtection="false">
      <alignment horizontal="general" vertical="center" textRotation="0" wrapText="false" indent="0" shrinkToFit="false"/>
      <protection locked="true" hidden="false"/>
    </xf>
    <xf numFmtId="167" fontId="10" fillId="6" borderId="2" xfId="0" applyFont="true" applyBorder="true" applyAlignment="true" applyProtection="false">
      <alignment horizontal="general" vertical="center" textRotation="0" wrapText="false" indent="0" shrinkToFit="false"/>
      <protection locked="true" hidden="false"/>
    </xf>
    <xf numFmtId="167" fontId="10" fillId="0" borderId="2" xfId="0" applyFont="true" applyBorder="true" applyAlignment="true" applyProtection="false">
      <alignment horizontal="general" vertical="center" textRotation="0" wrapText="false" indent="0" shrinkToFit="false"/>
      <protection locked="true" hidden="false"/>
    </xf>
    <xf numFmtId="171" fontId="13" fillId="0" borderId="2" xfId="0" applyFont="true" applyBorder="true" applyAlignment="true" applyProtection="false">
      <alignment horizontal="general" vertical="center" textRotation="0" wrapText="false" indent="0" shrinkToFit="false"/>
      <protection locked="true" hidden="false"/>
    </xf>
    <xf numFmtId="165" fontId="13" fillId="3" borderId="2" xfId="0" applyFont="true" applyBorder="true" applyAlignment="true" applyProtection="false">
      <alignment horizontal="general" vertical="center" textRotation="0" wrapText="false" indent="0" shrinkToFit="false"/>
      <protection locked="true" hidden="false"/>
    </xf>
    <xf numFmtId="165" fontId="13" fillId="5" borderId="2" xfId="0" applyFont="true" applyBorder="true" applyAlignment="true" applyProtection="false">
      <alignment horizontal="general" vertical="center" textRotation="0" wrapText="false" indent="0" shrinkToFit="false"/>
      <protection locked="true" hidden="false"/>
    </xf>
    <xf numFmtId="164" fontId="8" fillId="5" borderId="2" xfId="0" applyFont="true" applyBorder="true" applyAlignment="true" applyProtection="false">
      <alignment horizontal="center" vertical="center" textRotation="0" wrapText="false" indent="0" shrinkToFit="false"/>
      <protection locked="true" hidden="false"/>
    </xf>
    <xf numFmtId="171" fontId="10" fillId="4" borderId="2" xfId="0" applyFont="true" applyBorder="true" applyAlignment="true" applyProtection="false">
      <alignment horizontal="general" vertical="center" textRotation="0" wrapText="false" indent="0" shrinkToFit="false"/>
      <protection locked="true" hidden="false"/>
    </xf>
    <xf numFmtId="165" fontId="13" fillId="4" borderId="2" xfId="0" applyFont="true" applyBorder="true" applyAlignment="true" applyProtection="false">
      <alignment horizontal="general" vertical="center" textRotation="0" wrapText="false" indent="0" shrinkToFit="false"/>
      <protection locked="true" hidden="false"/>
    </xf>
    <xf numFmtId="171" fontId="13" fillId="5" borderId="2" xfId="0" applyFont="true" applyBorder="true" applyAlignment="true" applyProtection="false">
      <alignment horizontal="general" vertical="center" textRotation="0" wrapText="false" indent="0" shrinkToFit="false"/>
      <protection locked="true" hidden="false"/>
    </xf>
    <xf numFmtId="171" fontId="13" fillId="3" borderId="2" xfId="0" applyFont="true" applyBorder="true" applyAlignment="true" applyProtection="false">
      <alignment horizontal="general" vertical="center" textRotation="0" wrapText="fals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6" fillId="2" borderId="0" xfId="0" applyFont="true" applyBorder="true" applyAlignment="true" applyProtection="false">
      <alignment horizontal="center" vertical="center" textRotation="0" wrapText="false" indent="0" shrinkToFit="false"/>
      <protection locked="true" hidden="false"/>
    </xf>
    <xf numFmtId="164" fontId="6" fillId="2" borderId="2" xfId="0" applyFont="true" applyBorder="true" applyAlignment="true" applyProtection="false">
      <alignment horizontal="center" vertical="center" textRotation="0" wrapText="false" indent="0" shrinkToFit="false"/>
      <protection locked="true" hidden="false"/>
    </xf>
    <xf numFmtId="164" fontId="6" fillId="7" borderId="2" xfId="0" applyFont="true" applyBorder="true" applyAlignment="true" applyProtection="false">
      <alignment horizontal="center" vertical="center" textRotation="0" wrapText="false" indent="0" shrinkToFit="false"/>
      <protection locked="true" hidden="false"/>
    </xf>
    <xf numFmtId="171" fontId="10" fillId="0" borderId="2" xfId="0" applyFont="true" applyBorder="true" applyAlignment="true" applyProtection="false">
      <alignment horizontal="right" vertical="center" textRotation="0" wrapText="false" indent="0" shrinkToFit="false"/>
      <protection locked="true" hidden="false"/>
    </xf>
    <xf numFmtId="164" fontId="8" fillId="8" borderId="2" xfId="0" applyFont="true" applyBorder="true" applyAlignment="true" applyProtection="false">
      <alignment horizontal="general" vertical="center" textRotation="0" wrapText="false" indent="0" shrinkToFit="false"/>
      <protection locked="true" hidden="false"/>
    </xf>
    <xf numFmtId="164" fontId="11" fillId="8" borderId="2" xfId="0" applyFont="true" applyBorder="true" applyAlignment="true" applyProtection="false">
      <alignment horizontal="general" vertical="center" textRotation="0" wrapText="false" indent="0" shrinkToFit="false"/>
      <protection locked="true" hidden="false"/>
    </xf>
    <xf numFmtId="171" fontId="8" fillId="8" borderId="2" xfId="0" applyFont="true" applyBorder="true" applyAlignment="true" applyProtection="false">
      <alignment horizontal="right" vertical="center" textRotation="0" wrapText="false" indent="0" shrinkToFit="false"/>
      <protection locked="true" hidden="false"/>
    </xf>
    <xf numFmtId="164" fontId="11" fillId="4" borderId="2" xfId="0" applyFont="true" applyBorder="true" applyAlignment="true" applyProtection="false">
      <alignment horizontal="general" vertical="center" textRotation="0" wrapText="false" indent="0" shrinkToFit="false"/>
      <protection locked="true" hidden="false"/>
    </xf>
    <xf numFmtId="165" fontId="8" fillId="4" borderId="2" xfId="0" applyFont="true" applyBorder="true" applyAlignment="true" applyProtection="false">
      <alignment horizontal="right" vertical="center" textRotation="0" wrapText="false" indent="0" shrinkToFit="false"/>
      <protection locked="true" hidden="false"/>
    </xf>
    <xf numFmtId="164" fontId="11" fillId="3" borderId="2" xfId="0" applyFont="true" applyBorder="true" applyAlignment="true" applyProtection="false">
      <alignment horizontal="general" vertical="center" textRotation="0" wrapText="false" indent="0" shrinkToFit="false"/>
      <protection locked="true" hidden="false"/>
    </xf>
    <xf numFmtId="165" fontId="13" fillId="3" borderId="2" xfId="0" applyFont="true" applyBorder="true" applyAlignment="true" applyProtection="false">
      <alignment horizontal="right" vertical="center" textRotation="0" wrapText="false" indent="0" shrinkToFit="false"/>
      <protection locked="true" hidden="false"/>
    </xf>
    <xf numFmtId="165" fontId="13" fillId="4" borderId="2" xfId="0" applyFont="true" applyBorder="true" applyAlignment="true" applyProtection="false">
      <alignment horizontal="right" vertical="center" textRotation="0" wrapText="false" indent="0" shrinkToFit="false"/>
      <protection locked="true" hidden="false"/>
    </xf>
    <xf numFmtId="165" fontId="8" fillId="0" borderId="2" xfId="0" applyFont="true" applyBorder="true" applyAlignment="true" applyProtection="false">
      <alignment horizontal="right" vertical="center" textRotation="0" wrapText="false" indent="0" shrinkToFit="false"/>
      <protection locked="true" hidden="false"/>
    </xf>
    <xf numFmtId="166" fontId="10" fillId="0" borderId="2" xfId="0" applyFont="true" applyBorder="true" applyAlignment="true" applyProtection="false">
      <alignment horizontal="right" vertical="center" textRotation="0" wrapText="false" indent="0" shrinkToFit="false"/>
      <protection locked="true" hidden="false"/>
    </xf>
    <xf numFmtId="167" fontId="10" fillId="0" borderId="2" xfId="0" applyFont="true" applyBorder="true" applyAlignment="true" applyProtection="false">
      <alignment horizontal="right"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general" vertical="top" textRotation="0" wrapText="true" indent="0" shrinkToFit="false"/>
      <protection locked="true" hidden="false"/>
    </xf>
    <xf numFmtId="164" fontId="11" fillId="0" borderId="2" xfId="0" applyFont="true" applyBorder="true" applyAlignment="true" applyProtection="false">
      <alignment horizontal="right" vertical="center" textRotation="0" wrapText="false" indent="0" shrinkToFit="false"/>
      <protection locked="true" hidden="false"/>
    </xf>
    <xf numFmtId="168" fontId="13" fillId="4"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top" textRotation="0" wrapText="false" indent="0" shrinkToFit="false"/>
      <protection locked="true" hidden="false"/>
    </xf>
    <xf numFmtId="165" fontId="13" fillId="4" borderId="2" xfId="0" applyFont="true" applyBorder="true" applyAlignment="true" applyProtection="false">
      <alignment horizontal="right" vertical="top" textRotation="0" wrapText="false" indent="0" shrinkToFit="false"/>
      <protection locked="true" hidden="false"/>
    </xf>
    <xf numFmtId="168" fontId="13" fillId="4" borderId="2" xfId="0" applyFont="true" applyBorder="true" applyAlignment="true" applyProtection="false">
      <alignment horizontal="center" vertical="top" textRotation="0" wrapText="false" indent="0" shrinkToFit="false"/>
      <protection locked="true" hidden="false"/>
    </xf>
    <xf numFmtId="167" fontId="10" fillId="0" borderId="2" xfId="0" applyFont="true" applyBorder="true" applyAlignment="true" applyProtection="false">
      <alignment horizontal="right" vertical="top" textRotation="0" wrapText="false" indent="0" shrinkToFit="false"/>
      <protection locked="true" hidden="false"/>
    </xf>
    <xf numFmtId="168" fontId="10" fillId="0" borderId="2" xfId="0" applyFont="true" applyBorder="true" applyAlignment="true" applyProtection="false">
      <alignment horizontal="general" vertical="center" textRotation="0" wrapText="false" indent="0" shrinkToFit="false"/>
      <protection locked="true" hidden="false"/>
    </xf>
    <xf numFmtId="165" fontId="13" fillId="5" borderId="2" xfId="0" applyFont="true" applyBorder="true" applyAlignment="true" applyProtection="false">
      <alignment horizontal="right" vertical="top" textRotation="0" wrapText="false" indent="0" shrinkToFit="false"/>
      <protection locked="true" hidden="false"/>
    </xf>
    <xf numFmtId="164" fontId="11" fillId="0" borderId="2" xfId="0" applyFont="true" applyBorder="true" applyAlignment="true" applyProtection="false">
      <alignment horizontal="right" vertical="top" textRotation="0" wrapText="fals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20" fillId="2" borderId="0" xfId="0" applyFont="true" applyBorder="true" applyAlignment="true" applyProtection="false">
      <alignment horizontal="general" vertical="bottom" textRotation="0" wrapText="false" indent="0" shrinkToFit="false"/>
      <protection locked="true" hidden="false"/>
    </xf>
    <xf numFmtId="164" fontId="21" fillId="4" borderId="3" xfId="0" applyFont="true" applyBorder="true" applyAlignment="true" applyProtection="false">
      <alignment horizontal="general" vertical="bottom" textRotation="0" wrapText="false" indent="0" shrinkToFit="false"/>
      <protection locked="true" hidden="false"/>
    </xf>
    <xf numFmtId="171" fontId="0" fillId="0" borderId="3" xfId="0" applyFont="false" applyBorder="true" applyAlignment="true" applyProtection="false">
      <alignment horizontal="general" vertical="bottom" textRotation="0" wrapText="false" indent="0" shrinkToFit="false"/>
      <protection locked="true" hidden="false"/>
    </xf>
    <xf numFmtId="165" fontId="0" fillId="0" borderId="3" xfId="0" applyFont="false" applyBorder="true" applyAlignment="true" applyProtection="false">
      <alignment horizontal="general" vertical="bottom" textRotation="0" wrapText="false" indent="0" shrinkToFit="false"/>
      <protection locked="true" hidden="false"/>
    </xf>
    <xf numFmtId="171" fontId="22" fillId="0" borderId="3" xfId="0" applyFont="true" applyBorder="true" applyAlignment="true" applyProtection="false">
      <alignment horizontal="general" vertical="bottom" textRotation="0" wrapText="false" indent="0" shrinkToFit="false"/>
      <protection locked="true" hidden="false"/>
    </xf>
    <xf numFmtId="172" fontId="22" fillId="0" borderId="3" xfId="0" applyFont="true" applyBorder="true" applyAlignment="true" applyProtection="false">
      <alignment horizontal="general" vertical="bottom" textRotation="0" wrapText="false" indent="0" shrinkToFit="false"/>
      <protection locked="true" hidden="false"/>
    </xf>
    <xf numFmtId="164" fontId="23" fillId="0" borderId="3" xfId="0" applyFont="true" applyBorder="true" applyAlignment="tru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71" fontId="24" fillId="0" borderId="0" xfId="0" applyFont="true" applyBorder="false" applyAlignment="true" applyProtection="false">
      <alignment horizontal="general" vertical="bottom" textRotation="0" wrapText="false" indent="0" shrinkToFit="false"/>
      <protection locked="true" hidden="false"/>
    </xf>
    <xf numFmtId="167" fontId="25" fillId="0" borderId="3" xfId="0" applyFont="true" applyBorder="true" applyAlignment="true" applyProtection="false">
      <alignment horizontal="general" vertical="bottom" textRotation="0" wrapText="false" indent="0" shrinkToFit="false"/>
      <protection locked="true" hidden="false"/>
    </xf>
    <xf numFmtId="164" fontId="21" fillId="4" borderId="3" xfId="0" applyFont="true" applyBorder="true" applyAlignment="true" applyProtection="false">
      <alignment horizontal="general" vertical="top" textRotation="0" wrapText="tru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19" fillId="0" borderId="0" xfId="0" applyFont="true" applyBorder="true" applyAlignment="true" applyProtection="false">
      <alignment horizontal="general" vertical="bottom" textRotation="0" wrapText="tru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true" applyProtection="false">
      <alignment horizontal="general" vertical="top" textRotation="0" wrapText="true" indent="0" shrinkToFit="false"/>
      <protection locked="true" hidden="false"/>
    </xf>
    <xf numFmtId="164" fontId="20" fillId="2" borderId="0" xfId="0" applyFont="tru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21" fillId="4" borderId="0" xfId="0" applyFont="true" applyBorder="false" applyAlignment="true" applyProtection="false">
      <alignment horizontal="general" vertical="top" textRotation="0" wrapText="true" indent="0" shrinkToFit="false"/>
      <protection locked="true" hidden="false"/>
    </xf>
    <xf numFmtId="164" fontId="27" fillId="0" borderId="0" xfId="0" applyFont="true" applyBorder="false" applyAlignment="true" applyProtection="false">
      <alignment horizontal="general" vertical="top" textRotation="0" wrapText="true" indent="0" shrinkToFit="false"/>
      <protection locked="true" hidden="false"/>
    </xf>
    <xf numFmtId="164" fontId="23" fillId="0" borderId="0" xfId="0" applyFont="true" applyBorder="false" applyAlignment="true" applyProtection="false">
      <alignment horizontal="center" vertical="top" textRotation="0" wrapText="false" indent="0" shrinkToFit="false"/>
      <protection locked="true" hidden="false"/>
    </xf>
    <xf numFmtId="164" fontId="23" fillId="0" borderId="0" xfId="0" applyFont="true" applyBorder="false" applyAlignment="true" applyProtection="false">
      <alignment horizontal="general" vertical="top" textRotation="0" wrapText="true" indent="0" shrinkToFit="false"/>
      <protection locked="true" hidden="false"/>
    </xf>
    <xf numFmtId="171" fontId="13" fillId="3" borderId="0" xfId="0" applyFont="true" applyBorder="false" applyAlignment="true" applyProtection="false">
      <alignment horizontal="general" vertical="top" textRotation="0" wrapText="true" indent="0" shrinkToFit="false"/>
      <protection locked="true" hidden="false"/>
    </xf>
    <xf numFmtId="171" fontId="28" fillId="0" borderId="0" xfId="0" applyFont="true" applyBorder="false" applyAlignment="true" applyProtection="false">
      <alignment horizontal="general" vertical="top" textRotation="0" wrapText="true" indent="0" shrinkToFit="false"/>
      <protection locked="true" hidden="false"/>
    </xf>
    <xf numFmtId="166" fontId="13" fillId="3" borderId="0" xfId="0" applyFont="true" applyBorder="false" applyAlignment="true" applyProtection="false">
      <alignment horizontal="general" vertical="top" textRotation="0" wrapText="true" indent="0" shrinkToFit="false"/>
      <protection locked="true" hidden="false"/>
    </xf>
    <xf numFmtId="164" fontId="29" fillId="0" borderId="0" xfId="0" applyFont="true" applyBorder="false" applyAlignment="true" applyProtection="false">
      <alignment horizontal="general" vertical="top" textRotation="0" wrapText="true" indent="0" shrinkToFit="false"/>
      <protection locked="true" hidden="false"/>
    </xf>
    <xf numFmtId="171" fontId="30" fillId="0" borderId="0" xfId="0" applyFont="true" applyBorder="false" applyAlignment="true" applyProtection="false">
      <alignment horizontal="general" vertical="top" textRotation="0" wrapText="true" indent="0" shrinkToFit="false"/>
      <protection locked="true" hidden="false"/>
    </xf>
    <xf numFmtId="165" fontId="30" fillId="0" borderId="0" xfId="0" applyFont="true" applyBorder="false" applyAlignment="true" applyProtection="false">
      <alignment horizontal="general" vertical="top" textRotation="0" wrapText="true" indent="0" shrinkToFit="false"/>
      <protection locked="true" hidden="false"/>
    </xf>
    <xf numFmtId="165" fontId="31" fillId="0" borderId="0" xfId="0" applyFont="true" applyBorder="false" applyAlignment="false" applyProtection="false">
      <alignment horizontal="general" vertical="bottom" textRotation="0" wrapText="false" indent="0" shrinkToFit="false"/>
      <protection locked="true" hidden="false"/>
    </xf>
    <xf numFmtId="166" fontId="28" fillId="0" borderId="0" xfId="0" applyFont="true" applyBorder="false" applyAlignment="true" applyProtection="false">
      <alignment horizontal="general" vertical="top" textRotation="0" wrapText="true" indent="0" shrinkToFit="false"/>
      <protection locked="true" hidden="false"/>
    </xf>
    <xf numFmtId="165" fontId="20" fillId="2" borderId="2"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71" fontId="9" fillId="8" borderId="2" xfId="0" applyFont="true" applyBorder="true" applyAlignment="true" applyProtection="false">
      <alignment horizontal="center" vertical="center" textRotation="0" wrapText="false" indent="0" shrinkToFit="false"/>
      <protection locked="true" hidden="false"/>
    </xf>
    <xf numFmtId="165" fontId="10" fillId="0" borderId="2" xfId="0" applyFont="true" applyBorder="true" applyAlignment="true" applyProtection="false">
      <alignment horizontal="right" vertical="center" textRotation="0" wrapText="false" indent="0" shrinkToFit="false"/>
      <protection locked="true" hidden="false"/>
    </xf>
    <xf numFmtId="164" fontId="11" fillId="8" borderId="2" xfId="0" applyFont="true" applyBorder="true" applyAlignment="true" applyProtection="false">
      <alignment horizontal="right" vertical="center" textRotation="0" wrapText="false" indent="0" shrinkToFit="false"/>
      <protection locked="true" hidden="false"/>
    </xf>
    <xf numFmtId="165" fontId="9" fillId="8" borderId="2" xfId="0" applyFont="true" applyBorder="true" applyAlignment="true" applyProtection="false">
      <alignment horizontal="center" vertical="center" textRotation="0" wrapText="false" indent="0" shrinkToFit="false"/>
      <protection locked="true" hidden="false"/>
    </xf>
    <xf numFmtId="165" fontId="13" fillId="3"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1E7B34"/>
      <rgbColor rgb="FF0B3D91"/>
      <rgbColor rgb="FF808000"/>
      <rgbColor rgb="FF800080"/>
      <rgbColor rgb="FF008080"/>
      <rgbColor rgb="FFB9B4A8"/>
      <rgbColor rgb="FF878787"/>
      <rgbColor rgb="FF9999FF"/>
      <rgbColor rgb="FF993366"/>
      <rgbColor rgb="FFFFF3E0"/>
      <rgbColor rgb="FFECF0F1"/>
      <rgbColor rgb="FF660066"/>
      <rgbColor rgb="FFFF8080"/>
      <rgbColor rgb="FF0066CC"/>
      <rgbColor rgb="FFD0D0D0"/>
      <rgbColor rgb="FF000080"/>
      <rgbColor rgb="FFFF00FF"/>
      <rgbColor rgb="FFFFFF00"/>
      <rgbColor rgb="FF00FFFF"/>
      <rgbColor rgb="FF800080"/>
      <rgbColor rgb="FF800000"/>
      <rgbColor rgb="FF008080"/>
      <rgbColor rgb="FF0000FF"/>
      <rgbColor rgb="FF00CCFF"/>
      <rgbColor rgb="FFD9E2F3"/>
      <rgbColor rgb="FFF5F5F5"/>
      <rgbColor rgb="FFF9F9F9"/>
      <rgbColor rgb="FF99CCFF"/>
      <rgbColor rgb="FFFF99CC"/>
      <rgbColor rgb="FFCC99FF"/>
      <rgbColor rgb="FFD9D9D9"/>
      <rgbColor rgb="FF4F81BD"/>
      <rgbColor rgb="FF33CCCC"/>
      <rgbColor rgb="FF99CC00"/>
      <rgbColor rgb="FFFFCC00"/>
      <rgbColor rgb="FFFF9900"/>
      <rgbColor rgb="FFFF6600"/>
      <rgbColor rgb="FF666666"/>
      <rgbColor rgb="FF777777"/>
      <rgbColor rgb="FF122B49"/>
      <rgbColor rgb="FF339966"/>
      <rgbColor rgb="FF003300"/>
      <rgbColor rgb="FF333300"/>
      <rgbColor rgb="FF993300"/>
      <rgbColor rgb="FF993366"/>
      <rgbColor rgb="FF274C77"/>
      <rgbColor rgb="FF555555"/>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Prix documentés par commande (taels / feuille)</a:t>
            </a:r>
          </a:p>
        </c:rich>
      </c:tx>
      <c:overlay val="0"/>
      <c:spPr>
        <a:noFill/>
        <a:ln w="0">
          <a:noFill/>
        </a:ln>
      </c:spPr>
    </c:title>
    <c:autoTitleDeleted val="0"/>
    <c:plotArea>
      <c:barChart>
        <c:barDir val="col"/>
        <c:grouping val="clustered"/>
        <c:varyColors val="0"/>
        <c:ser>
          <c:idx val="0"/>
          <c:order val="0"/>
          <c:tx>
            <c:strRef>
              <c:f>Ancres!O6</c:f>
              <c:strCache>
                <c:ptCount val="1"/>
                <c:pt idx="0">
                  <c:v>t/f</c:v>
                </c:pt>
              </c:strCache>
            </c:strRef>
          </c:tx>
          <c:spPr>
            <a:solidFill>
              <a:srgbClr val="0066cc"/>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Ancres!$N$7:$N$19</c:f>
              <c:strCache>
                <c:ptCount val="13"/>
                <c:pt idx="0">
                  <c:v>1753 VOC std</c:v>
                </c:pt>
                <c:pt idx="1">
                  <c:v>1753 mosaïque</c:v>
                </c:pt>
                <c:pt idx="2">
                  <c:v>1776 DAC</c:v>
                </c:pt>
                <c:pt idx="3">
                  <c:v>1781 Anthony</c:v>
                </c:pt>
                <c:pt idx="4">
                  <c:v>1781 Assing</c:v>
                </c:pt>
                <c:pt idx="5">
                  <c:v>1781 Seequa</c:v>
                </c:pt>
                <c:pt idx="6">
                  <c:v>1782 Seequa</c:v>
                </c:pt>
                <c:pt idx="7">
                  <c:v>1783 Seequa</c:v>
                </c:pt>
                <c:pt idx="8">
                  <c:v>1785 Seequa</c:v>
                </c:pt>
                <c:pt idx="9">
                  <c:v>1786 Seequa</c:v>
                </c:pt>
                <c:pt idx="10">
                  <c:v>1787 DAC</c:v>
                </c:pt>
                <c:pt idx="11">
                  <c:v>1787 VOC Ant.</c:v>
                </c:pt>
                <c:pt idx="12">
                  <c:v>1787 VOC Seeq.</c:v>
                </c:pt>
              </c:strCache>
            </c:strRef>
          </c:cat>
          <c:val>
            <c:numRef>
              <c:f>Ancres!$O$7:$O$19</c:f>
              <c:numCache>
                <c:formatCode>General</c:formatCode>
                <c:ptCount val="13"/>
                <c:pt idx="0">
                  <c:v>2</c:v>
                </c:pt>
                <c:pt idx="1">
                  <c:v>0.74</c:v>
                </c:pt>
                <c:pt idx="2">
                  <c:v>1.03</c:v>
                </c:pt>
                <c:pt idx="3">
                  <c:v>0.665566037735849</c:v>
                </c:pt>
                <c:pt idx="4">
                  <c:v>1.33392857142857</c:v>
                </c:pt>
                <c:pt idx="5">
                  <c:v>1.62352941176471</c:v>
                </c:pt>
                <c:pt idx="6">
                  <c:v>1.24403815580286</c:v>
                </c:pt>
                <c:pt idx="7">
                  <c:v>1.65222222222222</c:v>
                </c:pt>
                <c:pt idx="8">
                  <c:v>2.00909090909091</c:v>
                </c:pt>
                <c:pt idx="9">
                  <c:v>1.92638888888889</c:v>
                </c:pt>
                <c:pt idx="10">
                  <c:v>1.8</c:v>
                </c:pt>
                <c:pt idx="11">
                  <c:v>1.45</c:v>
                </c:pt>
                <c:pt idx="12">
                  <c:v>1.26135770234987</c:v>
                </c:pt>
              </c:numCache>
            </c:numRef>
          </c:val>
        </c:ser>
        <c:gapWidth val="150"/>
        <c:overlap val="0"/>
        <c:axId val="43799580"/>
        <c:axId val="61914784"/>
      </c:barChart>
      <c:catAx>
        <c:axId val="4379958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1914784"/>
        <c:crosses val="autoZero"/>
        <c:auto val="1"/>
        <c:lblAlgn val="ctr"/>
        <c:lblOffset val="100"/>
        <c:noMultiLvlLbl val="0"/>
      </c:catAx>
      <c:valAx>
        <c:axId val="61914784"/>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taels / feuille</a:t>
                </a:r>
              </a:p>
            </c:rich>
          </c:tx>
          <c:overlay val="0"/>
          <c:spPr>
            <a:noFill/>
            <a:ln w="0">
              <a:noFill/>
            </a:ln>
          </c:spPr>
        </c:title>
        <c:numFmt formatCode="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379958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Coût ex-works vs prix de vente documenté (milieu, taels/feuille)</a:t>
            </a:r>
          </a:p>
        </c:rich>
      </c:tx>
      <c:overlay val="0"/>
      <c:spPr>
        <a:noFill/>
        <a:ln w="0">
          <a:noFill/>
        </a:ln>
      </c:spPr>
    </c:title>
    <c:autoTitleDeleted val="0"/>
    <c:plotArea>
      <c:barChart>
        <c:barDir val="col"/>
        <c:grouping val="clustered"/>
        <c:varyColors val="0"/>
        <c:ser>
          <c:idx val="0"/>
          <c:order val="0"/>
          <c:tx>
            <c:strRef>
              <c:f>'Coût par feuille'!O6</c:f>
              <c:strCache>
                <c:ptCount val="1"/>
                <c:pt idx="0">
                  <c:v>Coût milieu</c:v>
                </c:pt>
              </c:strCache>
            </c:strRef>
          </c:tx>
          <c:spPr>
            <a:solidFill>
              <a:srgbClr val="274c77"/>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'Coût par feuille'!$N$7:$N$9</c:f>
              <c:strCache>
                <c:ptCount val="3"/>
                <c:pt idx="0">
                  <c:v>Simple</c:v>
                </c:pt>
                <c:pt idx="1">
                  <c:v>Standard</c:v>
                </c:pt>
                <c:pt idx="2">
                  <c:v>Prestige</c:v>
                </c:pt>
              </c:strCache>
            </c:strRef>
          </c:cat>
          <c:val>
            <c:numRef>
              <c:f>'Coût par feuille'!$O$7:$O$9</c:f>
              <c:numCache>
                <c:formatCode>General</c:formatCode>
                <c:ptCount val="3"/>
                <c:pt idx="0">
                  <c:v>0.381738461538462</c:v>
                </c:pt>
                <c:pt idx="1">
                  <c:v>0.672192307692308</c:v>
                </c:pt>
                <c:pt idx="2">
                  <c:v>1.04288461538462</c:v>
                </c:pt>
              </c:numCache>
            </c:numRef>
          </c:val>
        </c:ser>
        <c:ser>
          <c:idx val="1"/>
          <c:order val="1"/>
          <c:tx>
            <c:strRef>
              <c:f>'Coût par feuille'!P6</c:f>
              <c:strCache>
                <c:ptCount val="1"/>
                <c:pt idx="0">
                  <c:v>Prix milieu</c:v>
                </c:pt>
              </c:strCache>
            </c:strRef>
          </c:tx>
          <c:spPr>
            <a:solidFill>
              <a:srgbClr val="0066cc"/>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'Coût par feuille'!$N$7:$N$9</c:f>
              <c:strCache>
                <c:ptCount val="3"/>
                <c:pt idx="0">
                  <c:v>Simple</c:v>
                </c:pt>
                <c:pt idx="1">
                  <c:v>Standard</c:v>
                </c:pt>
                <c:pt idx="2">
                  <c:v>Prestige</c:v>
                </c:pt>
              </c:strCache>
            </c:strRef>
          </c:cat>
          <c:val>
            <c:numRef>
              <c:f>'Coût par feuille'!$P$7:$P$9</c:f>
              <c:numCache>
                <c:formatCode>General</c:formatCode>
                <c:ptCount val="3"/>
                <c:pt idx="0">
                  <c:v>0.6</c:v>
                </c:pt>
                <c:pt idx="1">
                  <c:v>1.25</c:v>
                </c:pt>
                <c:pt idx="2">
                  <c:v>2.2</c:v>
                </c:pt>
              </c:numCache>
            </c:numRef>
          </c:val>
        </c:ser>
        <c:gapWidth val="150"/>
        <c:overlap val="0"/>
        <c:axId val="41444427"/>
        <c:axId val="58571279"/>
      </c:barChart>
      <c:catAx>
        <c:axId val="41444427"/>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8571279"/>
        <c:crosses val="autoZero"/>
        <c:auto val="1"/>
        <c:lblAlgn val="ctr"/>
        <c:lblOffset val="100"/>
        <c:noMultiLvlLbl val="0"/>
      </c:catAx>
      <c:valAx>
        <c:axId val="58571279"/>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taels / feuille</a:t>
                </a:r>
              </a:p>
            </c:rich>
          </c:tx>
          <c:overlay val="0"/>
          <c:spPr>
            <a:noFill/>
            <a:ln w="0">
              <a:noFill/>
            </a:ln>
          </c:spPr>
        </c:title>
        <c:numFmt formatCode="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1444427"/>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charts/chart3.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Indice de demande européenne par période (0–10, estimation [B])</a:t>
            </a:r>
          </a:p>
        </c:rich>
      </c:tx>
      <c:overlay val="0"/>
      <c:spPr>
        <a:noFill/>
        <a:ln w="0">
          <a:noFill/>
        </a:ln>
      </c:spPr>
    </c:title>
    <c:autoTitleDeleted val="0"/>
    <c:plotArea>
      <c:barChart>
        <c:barDir val="col"/>
        <c:grouping val="clustered"/>
        <c:varyColors val="0"/>
        <c:ser>
          <c:idx val="0"/>
          <c:order val="0"/>
          <c:tx>
            <c:strRef>
              <c:f>Périodes!O6</c:f>
              <c:strCache>
                <c:ptCount val="1"/>
                <c:pt idx="0">
                  <c:v>Indice</c:v>
                </c:pt>
              </c:strCache>
            </c:strRef>
          </c:tx>
          <c:spPr>
            <a:solidFill>
              <a:srgbClr val="0066cc"/>
            </a:solidFill>
            <a:ln w="9360">
              <a:solidFill>
                <a:srgbClr val="f9f9f9"/>
              </a:solidFill>
              <a:round/>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Périodes!$N$7:$N$12</c:f>
              <c:strCache>
                <c:ptCount val="6"/>
                <c:pt idx="0">
                  <c:v>P0</c:v>
                </c:pt>
                <c:pt idx="1">
                  <c:v>P1</c:v>
                </c:pt>
                <c:pt idx="2">
                  <c:v>P2</c:v>
                </c:pt>
                <c:pt idx="3">
                  <c:v>P3</c:v>
                </c:pt>
                <c:pt idx="4">
                  <c:v>P4</c:v>
                </c:pt>
                <c:pt idx="5">
                  <c:v>P5</c:v>
                </c:pt>
              </c:strCache>
            </c:strRef>
          </c:cat>
          <c:val>
            <c:numRef>
              <c:f>Périodes!$O$7:$O$12</c:f>
              <c:numCache>
                <c:formatCode>General</c:formatCode>
                <c:ptCount val="6"/>
                <c:pt idx="0">
                  <c:v>2</c:v>
                </c:pt>
                <c:pt idx="1">
                  <c:v>5</c:v>
                </c:pt>
                <c:pt idx="2">
                  <c:v>7</c:v>
                </c:pt>
                <c:pt idx="3">
                  <c:v>10</c:v>
                </c:pt>
                <c:pt idx="4">
                  <c:v>5</c:v>
                </c:pt>
                <c:pt idx="5">
                  <c:v>3</c:v>
                </c:pt>
              </c:numCache>
            </c:numRef>
          </c:val>
        </c:ser>
        <c:gapWidth val="150"/>
        <c:overlap val="0"/>
        <c:axId val="45429230"/>
        <c:axId val="80748217"/>
      </c:barChart>
      <c:catAx>
        <c:axId val="45429230"/>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0748217"/>
        <c:crosses val="autoZero"/>
        <c:auto val="1"/>
        <c:lblAlgn val="ctr"/>
        <c:lblOffset val="100"/>
        <c:noMultiLvlLbl val="0"/>
      </c:catAx>
      <c:valAx>
        <c:axId val="80748217"/>
        <c:scaling>
          <c:orientation val="minMax"/>
        </c:scaling>
        <c:delete val="0"/>
        <c:axPos val="l"/>
        <c:majorGridlines>
          <c:spPr>
            <a:ln w="9360">
              <a:solidFill>
                <a:srgbClr val="878787"/>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5429230"/>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4.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Prix documentés 1753–1787 (taels / feuille) [A]</a:t>
            </a:r>
          </a:p>
        </c:rich>
      </c:tx>
      <c:overlay val="0"/>
      <c:spPr>
        <a:noFill/>
        <a:ln w="0">
          <a:noFill/>
        </a:ln>
      </c:spPr>
    </c:title>
    <c:autoTitleDeleted val="0"/>
    <c:plotArea>
      <c:barChart>
        <c:barDir val="col"/>
        <c:grouping val="clustered"/>
        <c:varyColors val="0"/>
        <c:ser>
          <c:idx val="0"/>
          <c:order val="0"/>
          <c:spPr>
            <a:solidFill>
              <a:srgbClr val="4f81bd"/>
            </a:solidFill>
            <a:ln w="0">
              <a:noFill/>
            </a:ln>
          </c:spPr>
          <c:invertIfNegative val="0"/>
          <c:dLbls>
            <c:txPr>
              <a:bodyPr wrap="squar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'Prix &amp; conjoncture'!$B$6:$B$16</c:f>
              <c:strCache>
                <c:ptCount val="11"/>
                <c:pt idx="0">
                  <c:v>VOC — gamme standard</c:v>
                </c:pt>
                <c:pt idx="1">
                  <c:v>VOC — mosaïque</c:v>
                </c:pt>
                <c:pt idx="2">
                  <c:v>fourchette courante — bas</c:v>
                </c:pt>
                <c:pt idx="3">
                  <c:v>fourchette courante — haut</c:v>
                </c:pt>
                <c:pt idx="4">
                  <c:v>moyenne commandes DAC</c:v>
                </c:pt>
                <c:pt idx="5">
                  <c:v>Anthony</c:v>
                </c:pt>
                <c:pt idx="6">
                  <c:v>Assing</c:v>
                </c:pt>
                <c:pt idx="7">
                  <c:v>Seequa</c:v>
                </c:pt>
                <c:pt idx="8">
                  <c:v>pic conjoncturel</c:v>
                </c:pt>
                <c:pt idx="9">
                  <c:v>haute conjoncture</c:v>
                </c:pt>
                <c:pt idx="10">
                  <c:v>haute conjoncture</c:v>
                </c:pt>
              </c:strCache>
            </c:strRef>
          </c:cat>
          <c:val>
            <c:numRef>
              <c:f>'Prix &amp; conjoncture'!$C$6:$C$16</c:f>
              <c:numCache>
                <c:formatCode>General</c:formatCode>
                <c:ptCount val="11"/>
                <c:pt idx="0">
                  <c:v>2</c:v>
                </c:pt>
                <c:pt idx="1">
                  <c:v>0.74</c:v>
                </c:pt>
                <c:pt idx="2">
                  <c:v>0.72</c:v>
                </c:pt>
                <c:pt idx="3">
                  <c:v>1.2</c:v>
                </c:pt>
                <c:pt idx="4">
                  <c:v>1.03</c:v>
                </c:pt>
                <c:pt idx="5">
                  <c:v>0.666</c:v>
                </c:pt>
                <c:pt idx="6">
                  <c:v>1.334</c:v>
                </c:pt>
                <c:pt idx="7">
                  <c:v>1.624</c:v>
                </c:pt>
                <c:pt idx="8">
                  <c:v>2</c:v>
                </c:pt>
                <c:pt idx="9">
                  <c:v>1.93</c:v>
                </c:pt>
                <c:pt idx="10">
                  <c:v>1.8</c:v>
                </c:pt>
              </c:numCache>
            </c:numRef>
          </c:val>
        </c:ser>
        <c:gapWidth val="150"/>
        <c:overlap val="0"/>
        <c:axId val="4785733"/>
        <c:axId val="95730805"/>
      </c:barChart>
      <c:catAx>
        <c:axId val="4785733"/>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5730805"/>
        <c:crosses val="autoZero"/>
        <c:auto val="1"/>
        <c:lblAlgn val="ctr"/>
        <c:lblOffset val="100"/>
        <c:noMultiLvlLbl val="0"/>
      </c:catAx>
      <c:valAx>
        <c:axId val="95730805"/>
        <c:scaling>
          <c:orientation val="minMax"/>
        </c:scaling>
        <c:delete val="0"/>
        <c:axPos val="l"/>
        <c:majorGridlines>
          <c:spPr>
            <a:ln w="9360">
              <a:solidFill>
                <a:srgbClr val="878787"/>
              </a:solidFill>
              <a:round/>
            </a:ln>
          </c:spPr>
        </c:majorGridlines>
        <c:numFmt formatCode="0.00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785733"/>
        <c:crosses val="autoZero"/>
        <c:crossBetween val="between"/>
      </c:valAx>
      <c:spPr>
        <a:noFill/>
        <a:ln w="0">
          <a:noFill/>
        </a:ln>
      </c:spPr>
    </c:plotArea>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chart" Target="../charts/chart1.xml"/>
</Relationships>
</file>

<file path=xl/drawings/_rels/drawing2.xml.rels><?xml version="1.0" encoding="UTF-8"?>
<Relationships xmlns="http://schemas.openxmlformats.org/package/2006/relationships"><Relationship Id="rId1" Type="http://schemas.openxmlformats.org/officeDocument/2006/relationships/chart" Target="../charts/chart2.xml"/>
</Relationships>
</file>

<file path=xl/drawings/_rels/drawing3.xml.rels><?xml version="1.0" encoding="UTF-8"?>
<Relationships xmlns="http://schemas.openxmlformats.org/package/2006/relationships"><Relationship Id="rId1" Type="http://schemas.openxmlformats.org/officeDocument/2006/relationships/chart" Target="../charts/chart3.xml"/>
</Relationships>
</file>

<file path=xl/drawings/_rels/drawing4.xml.rels><?xml version="1.0" encoding="UTF-8"?>
<Relationships xmlns="http://schemas.openxmlformats.org/package/2006/relationships"><Relationship Id="rId1" Type="http://schemas.openxmlformats.org/officeDocument/2006/relationships/chart" Target="../charts/chart4.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21</xdr:row>
      <xdr:rowOff>0</xdr:rowOff>
    </xdr:from>
    <xdr:to>
      <xdr:col>25</xdr:col>
      <xdr:colOff>112320</xdr:colOff>
      <xdr:row>37</xdr:row>
      <xdr:rowOff>76680</xdr:rowOff>
    </xdr:to>
    <xdr:graphicFrame>
      <xdr:nvGraphicFramePr>
        <xdr:cNvPr id="0" name="Chart 1"/>
        <xdr:cNvGraphicFramePr/>
      </xdr:nvGraphicFramePr>
      <xdr:xfrm>
        <a:off x="16211520" y="4343400"/>
        <a:ext cx="7918920" cy="323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11</xdr:row>
      <xdr:rowOff>0</xdr:rowOff>
    </xdr:from>
    <xdr:to>
      <xdr:col>21</xdr:col>
      <xdr:colOff>164160</xdr:colOff>
      <xdr:row>27</xdr:row>
      <xdr:rowOff>10800</xdr:rowOff>
    </xdr:to>
    <xdr:graphicFrame>
      <xdr:nvGraphicFramePr>
        <xdr:cNvPr id="1" name="Chart 1"/>
        <xdr:cNvGraphicFramePr/>
      </xdr:nvGraphicFramePr>
      <xdr:xfrm>
        <a:off x="10199520" y="2390760"/>
        <a:ext cx="5758920" cy="305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13</xdr:col>
      <xdr:colOff>0</xdr:colOff>
      <xdr:row>14</xdr:row>
      <xdr:rowOff>0</xdr:rowOff>
    </xdr:from>
    <xdr:to>
      <xdr:col>21</xdr:col>
      <xdr:colOff>506880</xdr:colOff>
      <xdr:row>30</xdr:row>
      <xdr:rowOff>10800</xdr:rowOff>
    </xdr:to>
    <xdr:graphicFrame>
      <xdr:nvGraphicFramePr>
        <xdr:cNvPr id="2" name="Chart 1"/>
        <xdr:cNvGraphicFramePr/>
      </xdr:nvGraphicFramePr>
      <xdr:xfrm>
        <a:off x="17386920" y="6877080"/>
        <a:ext cx="5398920" cy="305892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9</xdr:col>
      <xdr:colOff>0</xdr:colOff>
      <xdr:row>4</xdr:row>
      <xdr:rowOff>0</xdr:rowOff>
    </xdr:from>
    <xdr:to>
      <xdr:col>18</xdr:col>
      <xdr:colOff>255960</xdr:colOff>
      <xdr:row>19</xdr:row>
      <xdr:rowOff>21960</xdr:rowOff>
    </xdr:to>
    <xdr:graphicFrame>
      <xdr:nvGraphicFramePr>
        <xdr:cNvPr id="3" name="Chart 1"/>
        <xdr:cNvGraphicFramePr/>
      </xdr:nvGraphicFramePr>
      <xdr:xfrm>
        <a:off x="10690920" y="762120"/>
        <a:ext cx="5759280" cy="2879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_rels/sheet6.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E3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44"/>
    <col collapsed="false" customWidth="true" hidden="false" outlineLevel="0" max="3" min="3" style="1" width="18"/>
    <col collapsed="false" customWidth="true" hidden="false" outlineLevel="0" max="4" min="4" style="1" width="16"/>
    <col collapsed="false" customWidth="true" hidden="false" outlineLevel="0" max="5" min="5" style="1" width="60"/>
  </cols>
  <sheetData>
    <row r="2" customFormat="false" ht="30" hidden="false" customHeight="true" outlineLevel="0" collapsed="false">
      <c r="B2" s="2" t="s">
        <v>0</v>
      </c>
    </row>
    <row r="3" customFormat="false" ht="15.75" hidden="false" customHeight="true" outlineLevel="0" collapsed="false">
      <c r="B3" s="3" t="s">
        <v>1</v>
      </c>
    </row>
    <row r="5" customFormat="false" ht="19.5" hidden="false" customHeight="true" outlineLevel="0" collapsed="false">
      <c r="B5" s="4" t="s">
        <v>2</v>
      </c>
      <c r="C5" s="4"/>
      <c r="D5" s="4"/>
      <c r="E5" s="4"/>
    </row>
    <row r="6" customFormat="false" ht="15" hidden="false" customHeight="true" outlineLevel="0" collapsed="false">
      <c r="B6" s="5" t="s">
        <v>3</v>
      </c>
      <c r="C6" s="6" t="s">
        <v>4</v>
      </c>
      <c r="D6" s="7" t="s">
        <v>5</v>
      </c>
      <c r="E6" s="8"/>
    </row>
    <row r="7" customFormat="false" ht="15" hidden="false" customHeight="true" outlineLevel="0" collapsed="false">
      <c r="B7" s="5" t="s">
        <v>6</v>
      </c>
      <c r="C7" s="6" t="s">
        <v>7</v>
      </c>
      <c r="D7" s="7" t="s">
        <v>5</v>
      </c>
      <c r="E7" s="8"/>
    </row>
    <row r="8" customFormat="false" ht="15" hidden="false" customHeight="true" outlineLevel="0" collapsed="false">
      <c r="B8" s="5" t="s">
        <v>8</v>
      </c>
      <c r="C8" s="9" t="n">
        <f aca="false">'Coût par feuille'!H15</f>
        <v>0.672192307692308</v>
      </c>
      <c r="D8" s="10" t="s">
        <v>9</v>
      </c>
    </row>
    <row r="9" customFormat="false" ht="15" hidden="false" customHeight="true" outlineLevel="0" collapsed="false">
      <c r="B9" s="5" t="s">
        <v>10</v>
      </c>
      <c r="C9" s="11" t="n">
        <f aca="false">'Coût par feuille'!H21</f>
        <v>0.462246153846154</v>
      </c>
      <c r="D9" s="10" t="s">
        <v>9</v>
      </c>
    </row>
    <row r="10" customFormat="false" ht="15" hidden="false" customHeight="true" outlineLevel="0" collapsed="false">
      <c r="B10" s="5" t="s">
        <v>11</v>
      </c>
      <c r="C10" s="12" t="n">
        <f aca="false">Paramètres!D25*20</f>
        <v>6.255</v>
      </c>
      <c r="D10" s="10" t="s">
        <v>12</v>
      </c>
    </row>
    <row r="11" customFormat="false" ht="15" hidden="false" customHeight="true" outlineLevel="0" collapsed="false">
      <c r="B11" s="5" t="s">
        <v>13</v>
      </c>
      <c r="C11" s="12" t="n">
        <f aca="false">'Coût par feuille'!H23</f>
        <v>0.5</v>
      </c>
      <c r="D11" s="7" t="s">
        <v>5</v>
      </c>
    </row>
    <row r="12" customFormat="false" ht="15" hidden="false" customHeight="false" outlineLevel="0" collapsed="false">
      <c r="B12" s="13" t="s">
        <v>14</v>
      </c>
      <c r="C12" s="13" t="s">
        <v>15</v>
      </c>
      <c r="D12" s="13" t="s">
        <v>12</v>
      </c>
    </row>
    <row r="13" customFormat="false" ht="19.5" hidden="false" customHeight="true" outlineLevel="0" collapsed="false">
      <c r="B13" s="4" t="s">
        <v>16</v>
      </c>
      <c r="C13" s="4"/>
      <c r="D13" s="4"/>
      <c r="E13" s="4"/>
    </row>
    <row r="14" customFormat="false" ht="15" hidden="false" customHeight="true" outlineLevel="0" collapsed="false">
      <c r="B14" s="14" t="s">
        <v>17</v>
      </c>
      <c r="C14" s="15" t="s">
        <v>18</v>
      </c>
      <c r="D14" s="15"/>
      <c r="E14" s="15"/>
    </row>
    <row r="15" customFormat="false" ht="15" hidden="false" customHeight="true" outlineLevel="0" collapsed="false">
      <c r="B15" s="16" t="s">
        <v>19</v>
      </c>
      <c r="C15" s="15" t="s">
        <v>20</v>
      </c>
      <c r="D15" s="15"/>
      <c r="E15" s="15"/>
    </row>
    <row r="16" customFormat="false" ht="15" hidden="false" customHeight="true" outlineLevel="0" collapsed="false">
      <c r="B16" s="17" t="s">
        <v>21</v>
      </c>
      <c r="C16" s="15" t="s">
        <v>22</v>
      </c>
      <c r="D16" s="15"/>
      <c r="E16" s="15"/>
    </row>
    <row r="18" customFormat="false" ht="19.5" hidden="false" customHeight="true" outlineLevel="0" collapsed="false">
      <c r="B18" s="4" t="s">
        <v>23</v>
      </c>
      <c r="C18" s="4"/>
      <c r="D18" s="4"/>
      <c r="E18" s="4"/>
    </row>
    <row r="19" customFormat="false" ht="15" hidden="false" customHeight="true" outlineLevel="0" collapsed="false">
      <c r="B19" s="18" t="s">
        <v>24</v>
      </c>
      <c r="C19" s="15" t="s">
        <v>25</v>
      </c>
      <c r="D19" s="15"/>
      <c r="E19" s="15"/>
    </row>
    <row r="20" customFormat="false" ht="15" hidden="false" customHeight="true" outlineLevel="0" collapsed="false">
      <c r="B20" s="19" t="s">
        <v>26</v>
      </c>
      <c r="C20" s="20" t="s">
        <v>27</v>
      </c>
      <c r="D20" s="20"/>
      <c r="E20" s="20"/>
    </row>
    <row r="21" customFormat="false" ht="15" hidden="false" customHeight="true" outlineLevel="0" collapsed="false">
      <c r="B21" s="18" t="s">
        <v>28</v>
      </c>
      <c r="C21" s="15" t="s">
        <v>29</v>
      </c>
      <c r="D21" s="15"/>
      <c r="E21" s="15"/>
    </row>
    <row r="22" customFormat="false" ht="15" hidden="false" customHeight="true" outlineLevel="0" collapsed="false">
      <c r="B22" s="19" t="s">
        <v>30</v>
      </c>
      <c r="C22" s="20" t="s">
        <v>31</v>
      </c>
      <c r="D22" s="20"/>
      <c r="E22" s="20"/>
    </row>
    <row r="23" customFormat="false" ht="15" hidden="false" customHeight="true" outlineLevel="0" collapsed="false">
      <c r="B23" s="18" t="s">
        <v>32</v>
      </c>
      <c r="C23" s="15" t="s">
        <v>33</v>
      </c>
      <c r="D23" s="15"/>
      <c r="E23" s="15"/>
    </row>
    <row r="24" customFormat="false" ht="15" hidden="false" customHeight="true" outlineLevel="0" collapsed="false">
      <c r="B24" s="19" t="s">
        <v>34</v>
      </c>
      <c r="C24" s="20" t="s">
        <v>35</v>
      </c>
      <c r="D24" s="20"/>
      <c r="E24" s="20"/>
    </row>
    <row r="25" customFormat="false" ht="15" hidden="false" customHeight="true" outlineLevel="0" collapsed="false">
      <c r="B25" s="21" t="s">
        <v>36</v>
      </c>
      <c r="C25" s="21" t="s">
        <v>37</v>
      </c>
    </row>
    <row r="26" customFormat="false" ht="15" hidden="false" customHeight="true" outlineLevel="0" collapsed="false">
      <c r="B26" s="22" t="s">
        <v>38</v>
      </c>
      <c r="C26" s="23" t="s">
        <v>39</v>
      </c>
      <c r="D26" s="23"/>
      <c r="E26" s="23"/>
    </row>
    <row r="27" customFormat="false" ht="15" hidden="false" customHeight="true" outlineLevel="0" collapsed="false"/>
    <row r="28" customFormat="false" ht="15" hidden="false" customHeight="true" outlineLevel="0" collapsed="false">
      <c r="B28" s="24" t="s">
        <v>40</v>
      </c>
      <c r="C28" s="24"/>
      <c r="D28" s="24"/>
      <c r="E28" s="24"/>
    </row>
    <row r="29" customFormat="false" ht="15" hidden="false" customHeight="true" outlineLevel="0" collapsed="false">
      <c r="B29" s="24"/>
      <c r="C29" s="24"/>
      <c r="D29" s="24"/>
      <c r="E29" s="24"/>
    </row>
    <row r="30" customFormat="false" ht="15" hidden="false" customHeight="false" outlineLevel="0" collapsed="false">
      <c r="B30" s="24"/>
      <c r="C30" s="24"/>
      <c r="D30" s="24"/>
      <c r="E30" s="24"/>
    </row>
  </sheetData>
  <mergeCells count="14">
    <mergeCell ref="B5:E5"/>
    <mergeCell ref="B13:E13"/>
    <mergeCell ref="C14:E14"/>
    <mergeCell ref="C15:E15"/>
    <mergeCell ref="C16:E16"/>
    <mergeCell ref="B18:E18"/>
    <mergeCell ref="C19:E19"/>
    <mergeCell ref="C20:E20"/>
    <mergeCell ref="C21:E21"/>
    <mergeCell ref="C22:E22"/>
    <mergeCell ref="C23:E23"/>
    <mergeCell ref="C24:E24"/>
    <mergeCell ref="C26:E26"/>
    <mergeCell ref="B28:E3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8"/>
    <col collapsed="false" customWidth="true" hidden="false" outlineLevel="0" max="3" min="3" style="1" width="27"/>
    <col collapsed="false" customWidth="true" hidden="false" outlineLevel="0" max="4" min="4" style="1" width="24"/>
    <col collapsed="false" customWidth="true" hidden="false" outlineLevel="0" max="5" min="5" style="1" width="10"/>
    <col collapsed="false" customWidth="true" hidden="false" outlineLevel="0" max="7" min="6" style="1" width="12"/>
    <col collapsed="false" customWidth="true" hidden="false" outlineLevel="0" max="8" min="8" style="1" width="8"/>
    <col collapsed="false" customWidth="true" hidden="false" outlineLevel="0" max="9" min="9" style="1" width="9"/>
    <col collapsed="false" customWidth="true" hidden="false" outlineLevel="0" max="10" min="10" style="1" width="48"/>
    <col collapsed="false" customWidth="true" hidden="false" outlineLevel="0" max="11" min="11" style="1" width="24"/>
    <col collapsed="false" customWidth="true" hidden="false" outlineLevel="0" max="12" min="12" style="1" width="44"/>
    <col collapsed="false" customWidth="true" hidden="false" outlineLevel="0" max="13" min="13" style="1" width="2"/>
    <col collapsed="false" customWidth="true" hidden="false" outlineLevel="0" max="14" min="14" style="1" width="15"/>
    <col collapsed="false" customWidth="true" hidden="false" outlineLevel="0" max="15" min="15" style="1" width="9"/>
  </cols>
  <sheetData>
    <row r="2" customFormat="false" ht="30" hidden="false" customHeight="true" outlineLevel="0" collapsed="false">
      <c r="B2" s="2" t="s">
        <v>41</v>
      </c>
    </row>
    <row r="3" customFormat="false" ht="15.75" hidden="false" customHeight="true" outlineLevel="0" collapsed="false">
      <c r="B3" s="3" t="s">
        <v>42</v>
      </c>
    </row>
    <row r="5" customFormat="false" ht="19.5" hidden="false" customHeight="true" outlineLevel="0" collapsed="false">
      <c r="B5" s="25" t="s">
        <v>43</v>
      </c>
      <c r="C5" s="25"/>
      <c r="D5" s="25"/>
      <c r="E5" s="25"/>
      <c r="F5" s="25"/>
      <c r="G5" s="25"/>
      <c r="H5" s="25"/>
      <c r="I5" s="25"/>
      <c r="J5" s="25"/>
      <c r="K5" s="25"/>
      <c r="L5" s="25"/>
      <c r="N5" s="26" t="s">
        <v>44</v>
      </c>
    </row>
    <row r="6" customFormat="false" ht="21.75" hidden="false" customHeight="true" outlineLevel="0" collapsed="false">
      <c r="B6" s="27" t="s">
        <v>45</v>
      </c>
      <c r="C6" s="27" t="s">
        <v>46</v>
      </c>
      <c r="D6" s="27" t="s">
        <v>47</v>
      </c>
      <c r="E6" s="27" t="s">
        <v>48</v>
      </c>
      <c r="F6" s="27" t="s">
        <v>49</v>
      </c>
      <c r="G6" s="27" t="s">
        <v>50</v>
      </c>
      <c r="H6" s="27" t="s">
        <v>51</v>
      </c>
      <c r="I6" s="27" t="s">
        <v>52</v>
      </c>
      <c r="J6" s="27" t="s">
        <v>53</v>
      </c>
      <c r="K6" s="27" t="s">
        <v>54</v>
      </c>
      <c r="L6" s="27" t="s">
        <v>55</v>
      </c>
      <c r="N6" s="28" t="s">
        <v>56</v>
      </c>
      <c r="O6" s="28" t="s">
        <v>57</v>
      </c>
    </row>
    <row r="7" customFormat="false" ht="15" hidden="false" customHeight="true" outlineLevel="0" collapsed="false">
      <c r="B7" s="29" t="n">
        <v>1753</v>
      </c>
      <c r="C7" s="5" t="s">
        <v>58</v>
      </c>
      <c r="D7" s="5" t="s">
        <v>59</v>
      </c>
      <c r="E7" s="30" t="n">
        <v>1000</v>
      </c>
      <c r="F7" s="5"/>
      <c r="G7" s="31" t="n">
        <v>2</v>
      </c>
      <c r="H7" s="5"/>
      <c r="I7" s="5"/>
      <c r="J7" s="15" t="s">
        <v>60</v>
      </c>
      <c r="K7" s="15" t="s">
        <v>61</v>
      </c>
      <c r="L7" s="15" t="s">
        <v>62</v>
      </c>
      <c r="N7" s="5" t="s">
        <v>63</v>
      </c>
      <c r="O7" s="32" t="n">
        <f aca="false">G7</f>
        <v>2</v>
      </c>
    </row>
    <row r="8" customFormat="false" ht="15" hidden="false" customHeight="true" outlineLevel="0" collapsed="false">
      <c r="B8" s="33" t="n">
        <v>1753</v>
      </c>
      <c r="C8" s="34" t="s">
        <v>58</v>
      </c>
      <c r="D8" s="34" t="s">
        <v>64</v>
      </c>
      <c r="E8" s="35" t="n">
        <v>200</v>
      </c>
      <c r="F8" s="34"/>
      <c r="G8" s="36" t="n">
        <v>0.74</v>
      </c>
      <c r="H8" s="34"/>
      <c r="I8" s="34"/>
      <c r="J8" s="20" t="s">
        <v>65</v>
      </c>
      <c r="K8" s="20" t="s">
        <v>61</v>
      </c>
      <c r="L8" s="20" t="s">
        <v>62</v>
      </c>
      <c r="N8" s="5" t="s">
        <v>66</v>
      </c>
      <c r="O8" s="32" t="n">
        <f aca="false">G8</f>
        <v>0.74</v>
      </c>
    </row>
    <row r="9" customFormat="false" ht="15" hidden="false" customHeight="true" outlineLevel="0" collapsed="false">
      <c r="B9" s="29" t="n">
        <v>1767</v>
      </c>
      <c r="C9" s="5" t="s">
        <v>67</v>
      </c>
      <c r="D9" s="5" t="s">
        <v>68</v>
      </c>
      <c r="E9" s="5"/>
      <c r="F9" s="5"/>
      <c r="G9" s="5"/>
      <c r="H9" s="5"/>
      <c r="I9" s="5"/>
      <c r="J9" s="15" t="s">
        <v>69</v>
      </c>
      <c r="K9" s="15" t="s">
        <v>61</v>
      </c>
      <c r="L9" s="15" t="s">
        <v>62</v>
      </c>
      <c r="N9" s="5" t="s">
        <v>70</v>
      </c>
      <c r="O9" s="32" t="n">
        <f aca="false">G14</f>
        <v>1.03</v>
      </c>
    </row>
    <row r="10" customFormat="false" ht="15" hidden="false" customHeight="true" outlineLevel="0" collapsed="false">
      <c r="B10" s="33" t="n">
        <v>1768</v>
      </c>
      <c r="C10" s="34" t="s">
        <v>71</v>
      </c>
      <c r="D10" s="34" t="s">
        <v>72</v>
      </c>
      <c r="E10" s="35" t="n">
        <v>4596</v>
      </c>
      <c r="F10" s="34"/>
      <c r="G10" s="34"/>
      <c r="H10" s="34"/>
      <c r="I10" s="34"/>
      <c r="J10" s="20" t="s">
        <v>73</v>
      </c>
      <c r="K10" s="20" t="s">
        <v>61</v>
      </c>
      <c r="L10" s="20" t="s">
        <v>62</v>
      </c>
      <c r="N10" s="5" t="s">
        <v>74</v>
      </c>
      <c r="O10" s="32" t="n">
        <f aca="false">G17</f>
        <v>0.665566037735849</v>
      </c>
    </row>
    <row r="11" customFormat="false" ht="15" hidden="false" customHeight="true" outlineLevel="0" collapsed="false">
      <c r="B11" s="29" t="n">
        <v>1768</v>
      </c>
      <c r="C11" s="5" t="s">
        <v>75</v>
      </c>
      <c r="D11" s="5" t="s">
        <v>76</v>
      </c>
      <c r="E11" s="30" t="n">
        <v>8369</v>
      </c>
      <c r="F11" s="5"/>
      <c r="G11" s="5"/>
      <c r="H11" s="5"/>
      <c r="I11" s="5"/>
      <c r="J11" s="15" t="s">
        <v>73</v>
      </c>
      <c r="K11" s="15" t="s">
        <v>61</v>
      </c>
      <c r="L11" s="15" t="s">
        <v>62</v>
      </c>
      <c r="N11" s="5" t="s">
        <v>77</v>
      </c>
      <c r="O11" s="32" t="n">
        <f aca="false">G18</f>
        <v>1.33392857142857</v>
      </c>
    </row>
    <row r="12" customFormat="false" ht="15" hidden="false" customHeight="true" outlineLevel="0" collapsed="false">
      <c r="B12" s="33" t="n">
        <v>1769</v>
      </c>
      <c r="C12" s="34" t="s">
        <v>71</v>
      </c>
      <c r="D12" s="34" t="s">
        <v>76</v>
      </c>
      <c r="E12" s="35" t="n">
        <v>1600</v>
      </c>
      <c r="F12" s="34"/>
      <c r="G12" s="34"/>
      <c r="H12" s="34"/>
      <c r="I12" s="34"/>
      <c r="J12" s="20" t="s">
        <v>78</v>
      </c>
      <c r="K12" s="20" t="s">
        <v>61</v>
      </c>
      <c r="L12" s="20" t="s">
        <v>62</v>
      </c>
      <c r="N12" s="5" t="s">
        <v>79</v>
      </c>
      <c r="O12" s="32" t="n">
        <f aca="false">G19</f>
        <v>1.62352941176471</v>
      </c>
    </row>
    <row r="13" customFormat="false" ht="15" hidden="false" customHeight="true" outlineLevel="0" collapsed="false">
      <c r="B13" s="29" t="n">
        <v>1769</v>
      </c>
      <c r="C13" s="5" t="s">
        <v>80</v>
      </c>
      <c r="D13" s="5" t="s">
        <v>76</v>
      </c>
      <c r="E13" s="5"/>
      <c r="F13" s="5"/>
      <c r="G13" s="5"/>
      <c r="H13" s="5"/>
      <c r="I13" s="5"/>
      <c r="J13" s="15" t="s">
        <v>81</v>
      </c>
      <c r="K13" s="15" t="s">
        <v>61</v>
      </c>
      <c r="L13" s="15" t="s">
        <v>62</v>
      </c>
      <c r="N13" s="5" t="s">
        <v>82</v>
      </c>
      <c r="O13" s="32" t="n">
        <f aca="false">G20</f>
        <v>1.24403815580286</v>
      </c>
    </row>
    <row r="14" customFormat="false" ht="15" hidden="false" customHeight="true" outlineLevel="0" collapsed="false">
      <c r="B14" s="33" t="n">
        <v>1776</v>
      </c>
      <c r="C14" s="34" t="s">
        <v>83</v>
      </c>
      <c r="D14" s="34" t="s">
        <v>84</v>
      </c>
      <c r="E14" s="35" t="n">
        <v>480</v>
      </c>
      <c r="F14" s="34"/>
      <c r="G14" s="36" t="n">
        <v>1.03</v>
      </c>
      <c r="H14" s="34"/>
      <c r="I14" s="34"/>
      <c r="J14" s="20" t="s">
        <v>85</v>
      </c>
      <c r="K14" s="20" t="s">
        <v>61</v>
      </c>
      <c r="L14" s="20" t="s">
        <v>62</v>
      </c>
      <c r="N14" s="5" t="s">
        <v>86</v>
      </c>
      <c r="O14" s="32" t="n">
        <f aca="false">G21</f>
        <v>1.65222222222222</v>
      </c>
    </row>
    <row r="15" customFormat="false" ht="15" hidden="false" customHeight="true" outlineLevel="0" collapsed="false">
      <c r="B15" s="29" t="n">
        <v>1776</v>
      </c>
      <c r="C15" s="5" t="s">
        <v>87</v>
      </c>
      <c r="D15" s="5" t="s">
        <v>88</v>
      </c>
      <c r="E15" s="30" t="n">
        <v>2756</v>
      </c>
      <c r="F15" s="5"/>
      <c r="G15" s="5"/>
      <c r="H15" s="5"/>
      <c r="I15" s="5"/>
      <c r="J15" s="15" t="s">
        <v>89</v>
      </c>
      <c r="K15" s="15" t="s">
        <v>61</v>
      </c>
      <c r="L15" s="15" t="s">
        <v>62</v>
      </c>
      <c r="N15" s="5" t="s">
        <v>90</v>
      </c>
      <c r="O15" s="32" t="n">
        <f aca="false">G22</f>
        <v>2.00909090909091</v>
      </c>
    </row>
    <row r="16" customFormat="false" ht="15" hidden="false" customHeight="true" outlineLevel="0" collapsed="false">
      <c r="B16" s="33" t="n">
        <v>1780</v>
      </c>
      <c r="C16" s="34" t="s">
        <v>91</v>
      </c>
      <c r="D16" s="34" t="s">
        <v>76</v>
      </c>
      <c r="E16" s="34"/>
      <c r="F16" s="34"/>
      <c r="G16" s="34"/>
      <c r="H16" s="34"/>
      <c r="I16" s="34"/>
      <c r="J16" s="20" t="s">
        <v>92</v>
      </c>
      <c r="K16" s="20" t="s">
        <v>61</v>
      </c>
      <c r="L16" s="20" t="s">
        <v>62</v>
      </c>
      <c r="N16" s="5" t="s">
        <v>93</v>
      </c>
      <c r="O16" s="32" t="n">
        <f aca="false">G23</f>
        <v>1.92638888888889</v>
      </c>
    </row>
    <row r="17" customFormat="false" ht="15" hidden="false" customHeight="true" outlineLevel="0" collapsed="false">
      <c r="B17" s="29" t="n">
        <v>1781</v>
      </c>
      <c r="C17" s="5" t="s">
        <v>94</v>
      </c>
      <c r="D17" s="5" t="s">
        <v>76</v>
      </c>
      <c r="E17" s="30" t="n">
        <v>424</v>
      </c>
      <c r="F17" s="37" t="n">
        <v>282.2</v>
      </c>
      <c r="G17" s="32" t="n">
        <f aca="false">IF(AND(F17&gt;0,E17&gt;0),F17/E17,"")</f>
        <v>0.665566037735849</v>
      </c>
      <c r="H17" s="5"/>
      <c r="I17" s="5"/>
      <c r="J17" s="15" t="s">
        <v>95</v>
      </c>
      <c r="K17" s="15" t="s">
        <v>61</v>
      </c>
      <c r="L17" s="15" t="s">
        <v>62</v>
      </c>
      <c r="N17" s="5" t="s">
        <v>96</v>
      </c>
      <c r="O17" s="32" t="n">
        <f aca="false">G24</f>
        <v>1.8</v>
      </c>
    </row>
    <row r="18" customFormat="false" ht="15" hidden="false" customHeight="true" outlineLevel="0" collapsed="false">
      <c r="B18" s="33" t="n">
        <v>1781</v>
      </c>
      <c r="C18" s="34" t="s">
        <v>97</v>
      </c>
      <c r="D18" s="34" t="s">
        <v>76</v>
      </c>
      <c r="E18" s="35" t="n">
        <v>672</v>
      </c>
      <c r="F18" s="38" t="n">
        <v>896.4</v>
      </c>
      <c r="G18" s="39" t="n">
        <f aca="false">IF(AND(F18&gt;0,E18&gt;0),F18/E18,"")</f>
        <v>1.33392857142857</v>
      </c>
      <c r="H18" s="34"/>
      <c r="I18" s="34"/>
      <c r="J18" s="20"/>
      <c r="K18" s="20" t="s">
        <v>61</v>
      </c>
      <c r="L18" s="20" t="s">
        <v>62</v>
      </c>
      <c r="N18" s="5" t="s">
        <v>98</v>
      </c>
      <c r="O18" s="32" t="n">
        <f aca="false">G25</f>
        <v>1.45</v>
      </c>
    </row>
    <row r="19" customFormat="false" ht="15" hidden="false" customHeight="true" outlineLevel="0" collapsed="false">
      <c r="B19" s="29" t="n">
        <v>1781</v>
      </c>
      <c r="C19" s="5" t="s">
        <v>99</v>
      </c>
      <c r="D19" s="5" t="s">
        <v>76</v>
      </c>
      <c r="E19" s="30" t="n">
        <v>408</v>
      </c>
      <c r="F19" s="37" t="n">
        <v>662.4</v>
      </c>
      <c r="G19" s="32" t="n">
        <f aca="false">IF(AND(F19&gt;0,E19&gt;0),F19/E19,"")</f>
        <v>1.62352941176471</v>
      </c>
      <c r="H19" s="5"/>
      <c r="I19" s="5"/>
      <c r="J19" s="15" t="s">
        <v>100</v>
      </c>
      <c r="K19" s="15" t="s">
        <v>61</v>
      </c>
      <c r="L19" s="15" t="s">
        <v>62</v>
      </c>
      <c r="N19" s="5" t="s">
        <v>101</v>
      </c>
      <c r="O19" s="32" t="n">
        <f aca="false">G26</f>
        <v>1.26135770234987</v>
      </c>
    </row>
    <row r="20" customFormat="false" ht="15" hidden="false" customHeight="true" outlineLevel="0" collapsed="false">
      <c r="B20" s="33" t="n">
        <v>1782</v>
      </c>
      <c r="C20" s="34" t="s">
        <v>99</v>
      </c>
      <c r="D20" s="34" t="s">
        <v>76</v>
      </c>
      <c r="E20" s="35" t="n">
        <v>1258</v>
      </c>
      <c r="F20" s="38" t="n">
        <v>1565</v>
      </c>
      <c r="G20" s="39" t="n">
        <f aca="false">IF(AND(F20&gt;0,E20&gt;0),F20/E20,"")</f>
        <v>1.24403815580286</v>
      </c>
      <c r="H20" s="33" t="n">
        <v>86</v>
      </c>
      <c r="I20" s="40" t="n">
        <f aca="false">IF(AND(E20&gt;0,H20&gt;0),E20/H20,"")</f>
        <v>14.6279069767442</v>
      </c>
      <c r="J20" s="20" t="s">
        <v>102</v>
      </c>
      <c r="K20" s="20" t="s">
        <v>61</v>
      </c>
      <c r="L20" s="20" t="s">
        <v>62</v>
      </c>
    </row>
    <row r="21" customFormat="false" ht="15" hidden="false" customHeight="true" outlineLevel="0" collapsed="false">
      <c r="B21" s="29" t="n">
        <v>1783</v>
      </c>
      <c r="C21" s="5" t="s">
        <v>99</v>
      </c>
      <c r="D21" s="5" t="s">
        <v>103</v>
      </c>
      <c r="E21" s="30" t="n">
        <v>540</v>
      </c>
      <c r="F21" s="37" t="n">
        <v>892.2</v>
      </c>
      <c r="G21" s="32" t="n">
        <f aca="false">IF(AND(F21&gt;0,E21&gt;0),F21/E21,"")</f>
        <v>1.65222222222222</v>
      </c>
      <c r="H21" s="29" t="n">
        <v>87</v>
      </c>
      <c r="I21" s="41" t="n">
        <f aca="false">IF(AND(E21&gt;0,H21&gt;0),E21/H21,"")</f>
        <v>6.20689655172414</v>
      </c>
      <c r="J21" s="15" t="s">
        <v>104</v>
      </c>
      <c r="K21" s="15" t="s">
        <v>61</v>
      </c>
      <c r="L21" s="15" t="s">
        <v>62</v>
      </c>
    </row>
    <row r="22" customFormat="false" ht="15" hidden="false" customHeight="true" outlineLevel="0" collapsed="false">
      <c r="B22" s="33" t="n">
        <v>1785</v>
      </c>
      <c r="C22" s="34" t="s">
        <v>99</v>
      </c>
      <c r="D22" s="34" t="s">
        <v>105</v>
      </c>
      <c r="E22" s="35" t="n">
        <v>1056</v>
      </c>
      <c r="F22" s="38" t="n">
        <v>2121.6</v>
      </c>
      <c r="G22" s="39" t="n">
        <f aca="false">IF(AND(F22&gt;0,E22&gt;0),F22/E22,"")</f>
        <v>2.00909090909091</v>
      </c>
      <c r="H22" s="33" t="n">
        <v>78</v>
      </c>
      <c r="I22" s="40" t="n">
        <f aca="false">IF(AND(E22&gt;0,H22&gt;0),E22/H22,"")</f>
        <v>13.5384615384615</v>
      </c>
      <c r="J22" s="20" t="s">
        <v>106</v>
      </c>
      <c r="K22" s="20" t="s">
        <v>61</v>
      </c>
      <c r="L22" s="20" t="s">
        <v>62</v>
      </c>
    </row>
    <row r="23" customFormat="false" ht="15" hidden="false" customHeight="true" outlineLevel="0" collapsed="false">
      <c r="B23" s="29" t="n">
        <v>1786</v>
      </c>
      <c r="C23" s="5" t="s">
        <v>99</v>
      </c>
      <c r="D23" s="5" t="s">
        <v>107</v>
      </c>
      <c r="E23" s="30" t="n">
        <v>864</v>
      </c>
      <c r="F23" s="37" t="n">
        <v>1664.4</v>
      </c>
      <c r="G23" s="32" t="n">
        <f aca="false">IF(AND(F23&gt;0,E23&gt;0),F23/E23,"")</f>
        <v>1.92638888888889</v>
      </c>
      <c r="H23" s="29" t="n">
        <v>97</v>
      </c>
      <c r="I23" s="41" t="n">
        <f aca="false">IF(AND(E23&gt;0,H23&gt;0),E23/H23,"")</f>
        <v>8.90721649484536</v>
      </c>
      <c r="J23" s="15" t="s">
        <v>108</v>
      </c>
      <c r="K23" s="15" t="s">
        <v>61</v>
      </c>
      <c r="L23" s="15" t="s">
        <v>62</v>
      </c>
    </row>
    <row r="24" customFormat="false" ht="15" hidden="false" customHeight="true" outlineLevel="0" collapsed="false">
      <c r="B24" s="33" t="n">
        <v>1787</v>
      </c>
      <c r="C24" s="34" t="s">
        <v>99</v>
      </c>
      <c r="D24" s="34" t="s">
        <v>109</v>
      </c>
      <c r="E24" s="35" t="n">
        <v>480</v>
      </c>
      <c r="F24" s="38" t="n">
        <v>864</v>
      </c>
      <c r="G24" s="39" t="n">
        <f aca="false">IF(AND(F24&gt;0,E24&gt;0),F24/E24,"")</f>
        <v>1.8</v>
      </c>
      <c r="H24" s="33" t="n">
        <v>111</v>
      </c>
      <c r="I24" s="40" t="n">
        <f aca="false">IF(AND(E24&gt;0,H24&gt;0),E24/H24,"")</f>
        <v>4.32432432432433</v>
      </c>
      <c r="J24" s="20" t="s">
        <v>110</v>
      </c>
      <c r="K24" s="20" t="s">
        <v>61</v>
      </c>
      <c r="L24" s="20" t="s">
        <v>62</v>
      </c>
    </row>
    <row r="25" customFormat="false" ht="15" hidden="false" customHeight="true" outlineLevel="0" collapsed="false">
      <c r="B25" s="29" t="n">
        <v>1787</v>
      </c>
      <c r="C25" s="5" t="s">
        <v>111</v>
      </c>
      <c r="D25" s="5" t="s">
        <v>112</v>
      </c>
      <c r="E25" s="30" t="n">
        <v>416</v>
      </c>
      <c r="F25" s="37" t="n">
        <v>603.2</v>
      </c>
      <c r="G25" s="32" t="n">
        <f aca="false">IF(AND(F25&gt;0,E25&gt;0),F25/E25,"")</f>
        <v>1.45</v>
      </c>
      <c r="H25" s="29" t="n">
        <v>60</v>
      </c>
      <c r="I25" s="41" t="n">
        <f aca="false">IF(AND(E25&gt;0,H25&gt;0),E25/H25,"")</f>
        <v>6.93333333333333</v>
      </c>
      <c r="J25" s="15" t="s">
        <v>113</v>
      </c>
      <c r="K25" s="15" t="s">
        <v>61</v>
      </c>
      <c r="L25" s="15" t="s">
        <v>62</v>
      </c>
    </row>
    <row r="26" customFormat="false" ht="15" hidden="false" customHeight="true" outlineLevel="0" collapsed="false">
      <c r="B26" s="33" t="n">
        <v>1787</v>
      </c>
      <c r="C26" s="34" t="s">
        <v>114</v>
      </c>
      <c r="D26" s="34" t="s">
        <v>115</v>
      </c>
      <c r="E26" s="35" t="n">
        <v>766</v>
      </c>
      <c r="F26" s="38" t="n">
        <v>966.2</v>
      </c>
      <c r="G26" s="39" t="n">
        <f aca="false">IF(AND(F26&gt;0,E26&gt;0),F26/E26,"")</f>
        <v>1.26135770234987</v>
      </c>
      <c r="H26" s="33" t="n">
        <v>60</v>
      </c>
      <c r="I26" s="40" t="n">
        <f aca="false">IF(AND(E26&gt;0,H26&gt;0),E26/H26,"")</f>
        <v>12.7666666666667</v>
      </c>
      <c r="J26" s="20" t="s">
        <v>116</v>
      </c>
      <c r="K26" s="20" t="s">
        <v>61</v>
      </c>
      <c r="L26" s="20" t="s">
        <v>62</v>
      </c>
    </row>
    <row r="27" customFormat="false" ht="15" hidden="false" customHeight="true" outlineLevel="0" collapsed="false">
      <c r="B27" s="29" t="n">
        <v>1788</v>
      </c>
      <c r="C27" s="5" t="s">
        <v>114</v>
      </c>
      <c r="D27" s="5" t="s">
        <v>117</v>
      </c>
      <c r="E27" s="30" t="n">
        <v>2420</v>
      </c>
      <c r="F27" s="5"/>
      <c r="G27" s="5"/>
      <c r="H27" s="5"/>
      <c r="I27" s="5"/>
      <c r="J27" s="15" t="s">
        <v>118</v>
      </c>
      <c r="K27" s="15" t="s">
        <v>61</v>
      </c>
      <c r="L27" s="15" t="s">
        <v>62</v>
      </c>
    </row>
    <row r="30" customFormat="false" ht="19.5" hidden="false" customHeight="true" outlineLevel="0" collapsed="false">
      <c r="B30" s="25" t="s">
        <v>119</v>
      </c>
      <c r="C30" s="25"/>
      <c r="D30" s="25"/>
      <c r="E30" s="25"/>
      <c r="F30" s="25"/>
      <c r="G30" s="25"/>
      <c r="H30" s="25"/>
      <c r="I30" s="25"/>
      <c r="J30" s="25"/>
      <c r="K30" s="25"/>
      <c r="L30" s="25"/>
    </row>
    <row r="31" customFormat="false" ht="19.5" hidden="false" customHeight="true" outlineLevel="0" collapsed="false">
      <c r="B31" s="27" t="s">
        <v>120</v>
      </c>
      <c r="C31" s="27" t="s">
        <v>121</v>
      </c>
      <c r="D31" s="27" t="s">
        <v>122</v>
      </c>
      <c r="E31" s="27" t="s">
        <v>123</v>
      </c>
      <c r="F31" s="27" t="s">
        <v>124</v>
      </c>
      <c r="G31" s="27" t="s">
        <v>125</v>
      </c>
      <c r="H31" s="27"/>
      <c r="I31" s="27"/>
      <c r="J31" s="27" t="s">
        <v>54</v>
      </c>
      <c r="K31" s="27"/>
    </row>
    <row r="32" customFormat="false" ht="15" hidden="false" customHeight="true" outlineLevel="0" collapsed="false">
      <c r="B32" s="18" t="s">
        <v>126</v>
      </c>
      <c r="C32" s="31" t="n">
        <v>0.72</v>
      </c>
      <c r="D32" s="31" t="n">
        <v>1.2</v>
      </c>
      <c r="E32" s="5" t="s">
        <v>127</v>
      </c>
      <c r="F32" s="7" t="s">
        <v>128</v>
      </c>
      <c r="G32" s="15" t="s">
        <v>129</v>
      </c>
      <c r="H32" s="15"/>
      <c r="I32" s="15"/>
      <c r="J32" s="15" t="s">
        <v>61</v>
      </c>
      <c r="K32" s="15"/>
      <c r="L32" s="15" t="s">
        <v>62</v>
      </c>
    </row>
    <row r="33" customFormat="false" ht="15" hidden="false" customHeight="true" outlineLevel="0" collapsed="false">
      <c r="B33" s="18" t="s">
        <v>130</v>
      </c>
      <c r="C33" s="31" t="n">
        <v>0.4</v>
      </c>
      <c r="D33" s="31" t="n">
        <v>0.8</v>
      </c>
      <c r="E33" s="5" t="s">
        <v>127</v>
      </c>
      <c r="F33" s="7" t="s">
        <v>128</v>
      </c>
      <c r="G33" s="15" t="s">
        <v>131</v>
      </c>
      <c r="H33" s="15"/>
      <c r="I33" s="15"/>
      <c r="J33" s="15" t="s">
        <v>61</v>
      </c>
      <c r="K33" s="15"/>
      <c r="L33" s="15" t="s">
        <v>62</v>
      </c>
    </row>
    <row r="34" customFormat="false" ht="15" hidden="false" customHeight="true" outlineLevel="0" collapsed="false">
      <c r="B34" s="18" t="s">
        <v>132</v>
      </c>
      <c r="C34" s="31" t="n">
        <v>0.9</v>
      </c>
      <c r="D34" s="31" t="n">
        <v>2.59</v>
      </c>
      <c r="E34" s="5" t="s">
        <v>127</v>
      </c>
      <c r="F34" s="7" t="s">
        <v>128</v>
      </c>
      <c r="G34" s="15" t="s">
        <v>133</v>
      </c>
      <c r="H34" s="15"/>
      <c r="I34" s="15"/>
      <c r="J34" s="15" t="s">
        <v>61</v>
      </c>
      <c r="K34" s="15"/>
      <c r="L34" s="15" t="s">
        <v>62</v>
      </c>
    </row>
    <row r="35" customFormat="false" ht="15" hidden="false" customHeight="true" outlineLevel="0" collapsed="false">
      <c r="B35" s="18" t="s">
        <v>134</v>
      </c>
      <c r="C35" s="31" t="n">
        <v>2</v>
      </c>
      <c r="D35" s="31" t="n">
        <v>3</v>
      </c>
      <c r="E35" s="5" t="s">
        <v>135</v>
      </c>
      <c r="F35" s="7" t="s">
        <v>128</v>
      </c>
      <c r="G35" s="15" t="s">
        <v>136</v>
      </c>
      <c r="H35" s="15"/>
      <c r="I35" s="15"/>
      <c r="J35" s="15" t="s">
        <v>61</v>
      </c>
      <c r="K35" s="15"/>
      <c r="L35" s="15" t="s">
        <v>62</v>
      </c>
    </row>
    <row r="36" customFormat="false" ht="15" hidden="false" customHeight="true" outlineLevel="0" collapsed="false">
      <c r="B36" s="18" t="s">
        <v>137</v>
      </c>
      <c r="C36" s="42" t="n">
        <v>0.0003</v>
      </c>
      <c r="D36" s="5"/>
      <c r="E36" s="5" t="s">
        <v>127</v>
      </c>
      <c r="F36" s="7" t="s">
        <v>128</v>
      </c>
      <c r="G36" s="15" t="s">
        <v>138</v>
      </c>
      <c r="H36" s="15"/>
      <c r="I36" s="15"/>
      <c r="J36" s="15" t="s">
        <v>61</v>
      </c>
      <c r="K36" s="15"/>
      <c r="L36" s="15" t="s">
        <v>62</v>
      </c>
    </row>
    <row r="37" customFormat="false" ht="15" hidden="false" customHeight="true" outlineLevel="0" collapsed="false">
      <c r="B37" s="18" t="s">
        <v>139</v>
      </c>
      <c r="C37" s="31" t="n">
        <v>0.025</v>
      </c>
      <c r="D37" s="5"/>
      <c r="E37" s="5" t="s">
        <v>127</v>
      </c>
      <c r="F37" s="7" t="s">
        <v>128</v>
      </c>
      <c r="G37" s="15" t="s">
        <v>140</v>
      </c>
      <c r="H37" s="15"/>
      <c r="I37" s="15"/>
      <c r="J37" s="15" t="s">
        <v>61</v>
      </c>
      <c r="K37" s="15"/>
      <c r="L37" s="15" t="s">
        <v>62</v>
      </c>
    </row>
    <row r="38" customFormat="false" ht="15" hidden="false" customHeight="true" outlineLevel="0" collapsed="false">
      <c r="B38" s="18" t="s">
        <v>141</v>
      </c>
      <c r="C38" s="31" t="n">
        <v>1.388</v>
      </c>
      <c r="D38" s="31" t="n">
        <v>1.39</v>
      </c>
      <c r="E38" s="5" t="s">
        <v>142</v>
      </c>
      <c r="F38" s="7" t="s">
        <v>128</v>
      </c>
      <c r="G38" s="15" t="s">
        <v>143</v>
      </c>
      <c r="H38" s="15"/>
      <c r="I38" s="15"/>
      <c r="J38" s="15" t="s">
        <v>61</v>
      </c>
      <c r="K38" s="15"/>
      <c r="L38" s="15" t="s">
        <v>62</v>
      </c>
    </row>
    <row r="39" customFormat="false" ht="15" hidden="false" customHeight="true" outlineLevel="0" collapsed="false">
      <c r="B39" s="5" t="s">
        <v>144</v>
      </c>
      <c r="C39" s="31" t="n">
        <v>3</v>
      </c>
      <c r="D39" s="31" t="n">
        <v>4</v>
      </c>
      <c r="E39" s="5" t="s">
        <v>145</v>
      </c>
      <c r="F39" s="10" t="s">
        <v>146</v>
      </c>
      <c r="G39" s="15" t="s">
        <v>147</v>
      </c>
      <c r="H39" s="15"/>
      <c r="I39" s="15"/>
      <c r="J39" s="15" t="s">
        <v>61</v>
      </c>
      <c r="K39" s="15"/>
      <c r="L39" s="15" t="s">
        <v>62</v>
      </c>
    </row>
    <row r="40" customFormat="false" ht="15" hidden="false" customHeight="true" outlineLevel="0" collapsed="false">
      <c r="B40" s="18" t="s">
        <v>148</v>
      </c>
      <c r="C40" s="31" t="n">
        <v>20</v>
      </c>
      <c r="D40" s="5"/>
      <c r="E40" s="5" t="s">
        <v>149</v>
      </c>
      <c r="F40" s="7" t="s">
        <v>128</v>
      </c>
      <c r="G40" s="15" t="s">
        <v>150</v>
      </c>
      <c r="H40" s="15"/>
      <c r="I40" s="15"/>
      <c r="J40" s="15" t="s">
        <v>151</v>
      </c>
      <c r="K40" s="15"/>
      <c r="L40" s="15" t="s">
        <v>152</v>
      </c>
    </row>
  </sheetData>
  <mergeCells count="22">
    <mergeCell ref="B5:L5"/>
    <mergeCell ref="B30:L30"/>
    <mergeCell ref="G31:I31"/>
    <mergeCell ref="J31:K31"/>
    <mergeCell ref="G32:I32"/>
    <mergeCell ref="J32:K32"/>
    <mergeCell ref="G33:I33"/>
    <mergeCell ref="J33:K33"/>
    <mergeCell ref="G34:I34"/>
    <mergeCell ref="J34:K34"/>
    <mergeCell ref="G35:I35"/>
    <mergeCell ref="J35:K35"/>
    <mergeCell ref="G36:I36"/>
    <mergeCell ref="J36:K36"/>
    <mergeCell ref="G37:I37"/>
    <mergeCell ref="J37:K37"/>
    <mergeCell ref="G38:I38"/>
    <mergeCell ref="J38:K38"/>
    <mergeCell ref="G39:I39"/>
    <mergeCell ref="J39:K39"/>
    <mergeCell ref="G40:I40"/>
    <mergeCell ref="J40:K4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H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40"/>
    <col collapsed="false" customWidth="true" hidden="false" outlineLevel="0" max="5" min="3" style="1" width="10"/>
    <col collapsed="false" customWidth="true" hidden="false" outlineLevel="0" max="6" min="6" style="1" width="14"/>
    <col collapsed="false" customWidth="true" hidden="false" outlineLevel="0" max="7" min="7" style="1" width="7"/>
    <col collapsed="false" customWidth="true" hidden="false" outlineLevel="0" max="8" min="8" style="1" width="58"/>
  </cols>
  <sheetData>
    <row r="2" customFormat="false" ht="30" hidden="false" customHeight="true" outlineLevel="0" collapsed="false">
      <c r="B2" s="2" t="s">
        <v>153</v>
      </c>
    </row>
    <row r="3" customFormat="false" ht="15.75" hidden="false" customHeight="true" outlineLevel="0" collapsed="false">
      <c r="B3" s="3" t="s">
        <v>154</v>
      </c>
    </row>
    <row r="5" customFormat="false" ht="19.5" hidden="false" customHeight="true" outlineLevel="0" collapsed="false">
      <c r="B5" s="27" t="s">
        <v>155</v>
      </c>
      <c r="C5" s="27" t="s">
        <v>121</v>
      </c>
      <c r="D5" s="27" t="s">
        <v>156</v>
      </c>
      <c r="E5" s="27" t="s">
        <v>122</v>
      </c>
      <c r="F5" s="27" t="s">
        <v>123</v>
      </c>
      <c r="G5" s="27" t="s">
        <v>124</v>
      </c>
      <c r="H5" s="27" t="s">
        <v>157</v>
      </c>
    </row>
    <row r="6" customFormat="false" ht="15" hidden="false" customHeight="true" outlineLevel="0" collapsed="false">
      <c r="B6" s="18" t="s">
        <v>158</v>
      </c>
      <c r="C6" s="43" t="n">
        <v>2</v>
      </c>
      <c r="D6" s="43" t="n">
        <v>2.5</v>
      </c>
      <c r="E6" s="43" t="n">
        <v>3</v>
      </c>
      <c r="F6" s="5" t="s">
        <v>135</v>
      </c>
      <c r="G6" s="7" t="s">
        <v>128</v>
      </c>
      <c r="H6" s="15" t="s">
        <v>159</v>
      </c>
    </row>
    <row r="7" customFormat="false" ht="15" hidden="false" customHeight="true" outlineLevel="0" collapsed="false">
      <c r="B7" s="5" t="s">
        <v>160</v>
      </c>
      <c r="C7" s="44" t="n">
        <v>3</v>
      </c>
      <c r="D7" s="44" t="n">
        <v>4.5</v>
      </c>
      <c r="E7" s="44" t="n">
        <v>6</v>
      </c>
      <c r="F7" s="5" t="s">
        <v>135</v>
      </c>
      <c r="G7" s="45" t="s">
        <v>161</v>
      </c>
      <c r="H7" s="15" t="s">
        <v>162</v>
      </c>
    </row>
    <row r="8" customFormat="false" ht="15" hidden="false" customHeight="true" outlineLevel="0" collapsed="false">
      <c r="B8" s="5" t="s">
        <v>163</v>
      </c>
      <c r="C8" s="44" t="n">
        <v>26</v>
      </c>
      <c r="D8" s="44" t="n">
        <v>26</v>
      </c>
      <c r="E8" s="44" t="n">
        <v>26</v>
      </c>
      <c r="F8" s="5" t="s">
        <v>164</v>
      </c>
      <c r="G8" s="45" t="s">
        <v>161</v>
      </c>
      <c r="H8" s="15" t="s">
        <v>165</v>
      </c>
    </row>
    <row r="9" customFormat="false" ht="15" hidden="false" customHeight="true" outlineLevel="0" collapsed="false">
      <c r="B9" s="5" t="s">
        <v>166</v>
      </c>
      <c r="C9" s="46" t="n">
        <f aca="false">C7/C8</f>
        <v>0.115384615384615</v>
      </c>
      <c r="D9" s="46" t="n">
        <f aca="false">D7/D8</f>
        <v>0.173076923076923</v>
      </c>
      <c r="E9" s="46" t="n">
        <f aca="false">E7/E8</f>
        <v>0.230769230769231</v>
      </c>
      <c r="F9" s="5" t="s">
        <v>167</v>
      </c>
      <c r="G9" s="10" t="s">
        <v>146</v>
      </c>
      <c r="H9" s="15" t="s">
        <v>168</v>
      </c>
    </row>
    <row r="10" customFormat="false" ht="15" hidden="false" customHeight="true" outlineLevel="0" collapsed="false">
      <c r="B10" s="5" t="s">
        <v>169</v>
      </c>
      <c r="C10" s="46" t="n">
        <f aca="false">C6/C8</f>
        <v>0.0769230769230769</v>
      </c>
      <c r="D10" s="46" t="n">
        <f aca="false">D6/D8</f>
        <v>0.0961538461538462</v>
      </c>
      <c r="E10" s="46" t="n">
        <f aca="false">E6/E8</f>
        <v>0.115384615384615</v>
      </c>
      <c r="F10" s="5" t="s">
        <v>167</v>
      </c>
      <c r="G10" s="10" t="s">
        <v>146</v>
      </c>
      <c r="H10" s="15" t="s">
        <v>168</v>
      </c>
    </row>
    <row r="11" customFormat="false" ht="15" hidden="false" customHeight="true" outlineLevel="0" collapsed="false">
      <c r="B11" s="5" t="s">
        <v>170</v>
      </c>
      <c r="C11" s="47" t="n">
        <v>2</v>
      </c>
      <c r="D11" s="47" t="n">
        <v>3</v>
      </c>
      <c r="E11" s="47" t="n">
        <v>4</v>
      </c>
      <c r="F11" s="5" t="s">
        <v>171</v>
      </c>
      <c r="G11" s="10" t="s">
        <v>146</v>
      </c>
      <c r="H11" s="15" t="s">
        <v>172</v>
      </c>
    </row>
    <row r="12" customFormat="false" ht="15" hidden="false" customHeight="true" outlineLevel="0" collapsed="false">
      <c r="B12" s="5" t="s">
        <v>173</v>
      </c>
      <c r="C12" s="47" t="n">
        <v>0.5</v>
      </c>
      <c r="D12" s="47" t="n">
        <v>0.75</v>
      </c>
      <c r="E12" s="47" t="n">
        <v>1</v>
      </c>
      <c r="F12" s="5" t="s">
        <v>171</v>
      </c>
      <c r="G12" s="10" t="s">
        <v>146</v>
      </c>
      <c r="H12" s="15" t="s">
        <v>174</v>
      </c>
    </row>
    <row r="13" customFormat="false" ht="15" hidden="false" customHeight="true" outlineLevel="0" collapsed="false">
      <c r="B13" s="5" t="s">
        <v>175</v>
      </c>
      <c r="C13" s="47" t="n">
        <v>0.3</v>
      </c>
      <c r="D13" s="47" t="n">
        <v>0.45</v>
      </c>
      <c r="E13" s="47" t="n">
        <v>0.6</v>
      </c>
      <c r="F13" s="5" t="s">
        <v>171</v>
      </c>
      <c r="G13" s="10" t="s">
        <v>146</v>
      </c>
      <c r="H13" s="15" t="s">
        <v>176</v>
      </c>
    </row>
    <row r="14" customFormat="false" ht="15" hidden="false" customHeight="true" outlineLevel="0" collapsed="false">
      <c r="B14" s="5" t="s">
        <v>177</v>
      </c>
      <c r="C14" s="48" t="n">
        <v>0.05</v>
      </c>
      <c r="D14" s="44" t="n">
        <v>0.1</v>
      </c>
      <c r="E14" s="44" t="n">
        <v>0.15</v>
      </c>
      <c r="F14" s="5" t="s">
        <v>127</v>
      </c>
      <c r="G14" s="45" t="s">
        <v>161</v>
      </c>
      <c r="H14" s="15" t="s">
        <v>178</v>
      </c>
    </row>
    <row r="15" customFormat="false" ht="15" hidden="false" customHeight="true" outlineLevel="0" collapsed="false">
      <c r="B15" s="5" t="s">
        <v>179</v>
      </c>
      <c r="C15" s="48" t="n">
        <v>0.02</v>
      </c>
      <c r="D15" s="48" t="n">
        <v>0.035</v>
      </c>
      <c r="E15" s="48" t="n">
        <v>0.05</v>
      </c>
      <c r="F15" s="5" t="s">
        <v>127</v>
      </c>
      <c r="G15" s="45" t="s">
        <v>161</v>
      </c>
      <c r="H15" s="15" t="s">
        <v>180</v>
      </c>
    </row>
    <row r="16" customFormat="false" ht="15" hidden="false" customHeight="true" outlineLevel="0" collapsed="false">
      <c r="B16" s="5" t="s">
        <v>181</v>
      </c>
      <c r="C16" s="48" t="n">
        <v>0.02</v>
      </c>
      <c r="D16" s="48" t="n">
        <v>0.035</v>
      </c>
      <c r="E16" s="48" t="n">
        <v>0.05</v>
      </c>
      <c r="F16" s="5" t="s">
        <v>127</v>
      </c>
      <c r="G16" s="45" t="s">
        <v>161</v>
      </c>
      <c r="H16" s="15" t="s">
        <v>182</v>
      </c>
    </row>
    <row r="17" customFormat="false" ht="15" hidden="false" customHeight="true" outlineLevel="0" collapsed="false">
      <c r="B17" s="5" t="s">
        <v>183</v>
      </c>
      <c r="C17" s="48" t="n">
        <v>0.05</v>
      </c>
      <c r="D17" s="44" t="n">
        <v>0.1</v>
      </c>
      <c r="E17" s="44" t="n">
        <v>0.15</v>
      </c>
      <c r="F17" s="5" t="s">
        <v>127</v>
      </c>
      <c r="G17" s="45" t="s">
        <v>161</v>
      </c>
      <c r="H17" s="15" t="s">
        <v>184</v>
      </c>
    </row>
    <row r="18" customFormat="false" ht="15" hidden="false" customHeight="true" outlineLevel="0" collapsed="false">
      <c r="B18" s="5" t="s">
        <v>185</v>
      </c>
      <c r="C18" s="44" t="n">
        <v>0.15</v>
      </c>
      <c r="D18" s="44" t="n">
        <v>0.25</v>
      </c>
      <c r="E18" s="44" t="n">
        <v>0.4</v>
      </c>
      <c r="F18" s="5" t="s">
        <v>127</v>
      </c>
      <c r="G18" s="45" t="s">
        <v>161</v>
      </c>
      <c r="H18" s="15" t="s">
        <v>186</v>
      </c>
    </row>
    <row r="19" customFormat="false" ht="15" hidden="false" customHeight="true" outlineLevel="0" collapsed="false">
      <c r="B19" s="5" t="s">
        <v>187</v>
      </c>
      <c r="C19" s="44" t="n">
        <v>0.3</v>
      </c>
      <c r="D19" s="44" t="n">
        <v>0.5</v>
      </c>
      <c r="E19" s="44" t="n">
        <v>0.7</v>
      </c>
      <c r="F19" s="5" t="s">
        <v>188</v>
      </c>
      <c r="G19" s="45" t="s">
        <v>161</v>
      </c>
      <c r="H19" s="15" t="s">
        <v>189</v>
      </c>
    </row>
    <row r="20" customFormat="false" ht="15" hidden="false" customHeight="true" outlineLevel="0" collapsed="false">
      <c r="B20" s="5" t="s">
        <v>190</v>
      </c>
      <c r="C20" s="44" t="n">
        <v>0.15</v>
      </c>
      <c r="D20" s="44" t="n">
        <v>0.22</v>
      </c>
      <c r="E20" s="44" t="n">
        <v>0.3</v>
      </c>
      <c r="F20" s="5" t="s">
        <v>191</v>
      </c>
      <c r="G20" s="45" t="s">
        <v>161</v>
      </c>
      <c r="H20" s="15" t="s">
        <v>192</v>
      </c>
    </row>
    <row r="21" customFormat="false" ht="15" hidden="false" customHeight="true" outlineLevel="0" collapsed="false">
      <c r="B21" s="5" t="s">
        <v>193</v>
      </c>
      <c r="C21" s="48" t="n">
        <v>0.01</v>
      </c>
      <c r="D21" s="48" t="n">
        <v>0.02</v>
      </c>
      <c r="E21" s="48" t="n">
        <v>0.03</v>
      </c>
      <c r="F21" s="5" t="s">
        <v>127</v>
      </c>
      <c r="G21" s="45" t="s">
        <v>161</v>
      </c>
      <c r="H21" s="15" t="s">
        <v>194</v>
      </c>
    </row>
    <row r="22" customFormat="false" ht="15" hidden="false" customHeight="true" outlineLevel="0" collapsed="false">
      <c r="B22" s="18" t="s">
        <v>195</v>
      </c>
      <c r="C22" s="49" t="n">
        <v>0.0253</v>
      </c>
      <c r="D22" s="49" t="n">
        <v>0.0253</v>
      </c>
      <c r="E22" s="49" t="n">
        <v>0.0253</v>
      </c>
      <c r="F22" s="5" t="s">
        <v>127</v>
      </c>
      <c r="G22" s="7" t="s">
        <v>128</v>
      </c>
      <c r="H22" s="15" t="s">
        <v>196</v>
      </c>
    </row>
    <row r="23" customFormat="false" ht="15" hidden="false" customHeight="true" outlineLevel="0" collapsed="false">
      <c r="B23" s="18" t="s">
        <v>141</v>
      </c>
      <c r="C23" s="43" t="n">
        <v>1.39</v>
      </c>
      <c r="D23" s="43" t="n">
        <v>1.39</v>
      </c>
      <c r="E23" s="43" t="n">
        <v>1.39</v>
      </c>
      <c r="F23" s="5" t="s">
        <v>197</v>
      </c>
      <c r="G23" s="7" t="s">
        <v>128</v>
      </c>
      <c r="H23" s="15" t="s">
        <v>198</v>
      </c>
    </row>
    <row r="24" customFormat="false" ht="15" hidden="false" customHeight="true" outlineLevel="0" collapsed="false">
      <c r="B24" s="5" t="s">
        <v>199</v>
      </c>
      <c r="C24" s="47" t="n">
        <v>0.225</v>
      </c>
      <c r="D24" s="47" t="n">
        <v>0.225</v>
      </c>
      <c r="E24" s="47" t="n">
        <v>0.225</v>
      </c>
      <c r="F24" s="5" t="s">
        <v>200</v>
      </c>
      <c r="G24" s="10" t="s">
        <v>146</v>
      </c>
      <c r="H24" s="15" t="s">
        <v>201</v>
      </c>
    </row>
    <row r="25" customFormat="false" ht="15" hidden="false" customHeight="true" outlineLevel="0" collapsed="false">
      <c r="B25" s="5" t="s">
        <v>202</v>
      </c>
      <c r="C25" s="46" t="n">
        <f aca="false">C23*C24</f>
        <v>0.31275</v>
      </c>
      <c r="D25" s="46" t="n">
        <f aca="false">D23*D24</f>
        <v>0.31275</v>
      </c>
      <c r="E25" s="46" t="n">
        <f aca="false">E23*E24</f>
        <v>0.31275</v>
      </c>
      <c r="F25" s="5" t="s">
        <v>203</v>
      </c>
      <c r="G25" s="10" t="s">
        <v>146</v>
      </c>
      <c r="H25" s="15" t="s">
        <v>204</v>
      </c>
    </row>
    <row r="28" customFormat="false" ht="15" hidden="false" customHeight="true" outlineLevel="0" collapsed="false">
      <c r="B28" s="50" t="s">
        <v>205</v>
      </c>
      <c r="C28" s="50"/>
      <c r="D28" s="50"/>
      <c r="E28" s="50"/>
      <c r="F28" s="50"/>
      <c r="G28" s="50"/>
      <c r="H28" s="50"/>
    </row>
    <row r="29" customFormat="false" ht="15" hidden="false" customHeight="true" outlineLevel="0" collapsed="false">
      <c r="B29" s="50"/>
      <c r="C29" s="50"/>
      <c r="D29" s="50"/>
      <c r="E29" s="50"/>
      <c r="F29" s="50"/>
      <c r="G29" s="50"/>
      <c r="H29" s="50"/>
    </row>
  </sheetData>
  <mergeCells count="1">
    <mergeCell ref="B28:H2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P2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38"/>
    <col collapsed="false" customWidth="true" hidden="false" outlineLevel="0" max="3" min="3" style="1" width="17"/>
    <col collapsed="false" customWidth="true" hidden="false" outlineLevel="0" max="12" min="4" style="1" width="9.52"/>
    <col collapsed="false" customWidth="true" hidden="false" outlineLevel="0" max="13" min="13" style="1" width="2"/>
    <col collapsed="false" customWidth="true" hidden="false" outlineLevel="0" max="14" min="14" style="1" width="16"/>
    <col collapsed="false" customWidth="true" hidden="false" outlineLevel="0" max="16" min="15" style="1" width="10"/>
  </cols>
  <sheetData>
    <row r="2" customFormat="false" ht="30" hidden="false" customHeight="true" outlineLevel="0" collapsed="false">
      <c r="B2" s="2" t="s">
        <v>206</v>
      </c>
    </row>
    <row r="3" customFormat="false" ht="15.75" hidden="false" customHeight="true" outlineLevel="0" collapsed="false">
      <c r="B3" s="3" t="s">
        <v>207</v>
      </c>
    </row>
    <row r="4" customFormat="false" ht="19.5" hidden="false" customHeight="true" outlineLevel="0" collapsed="false">
      <c r="D4" s="51" t="s">
        <v>208</v>
      </c>
      <c r="E4" s="51"/>
      <c r="F4" s="51"/>
      <c r="G4" s="51" t="s">
        <v>209</v>
      </c>
      <c r="H4" s="51"/>
      <c r="I4" s="51"/>
      <c r="J4" s="51" t="s">
        <v>210</v>
      </c>
      <c r="K4" s="51"/>
      <c r="L4" s="51"/>
    </row>
    <row r="5" customFormat="false" ht="18" hidden="false" customHeight="true" outlineLevel="0" collapsed="false">
      <c r="B5" s="52" t="s">
        <v>211</v>
      </c>
      <c r="C5" s="52" t="s">
        <v>212</v>
      </c>
      <c r="D5" s="53" t="s">
        <v>121</v>
      </c>
      <c r="E5" s="53" t="s">
        <v>156</v>
      </c>
      <c r="F5" s="53" t="s">
        <v>122</v>
      </c>
      <c r="G5" s="53" t="s">
        <v>121</v>
      </c>
      <c r="H5" s="53" t="s">
        <v>156</v>
      </c>
      <c r="I5" s="53" t="s">
        <v>122</v>
      </c>
      <c r="J5" s="53" t="s">
        <v>121</v>
      </c>
      <c r="K5" s="53" t="s">
        <v>156</v>
      </c>
      <c r="L5" s="53" t="s">
        <v>122</v>
      </c>
      <c r="N5" s="26" t="s">
        <v>44</v>
      </c>
    </row>
    <row r="6" customFormat="false" ht="15" hidden="false" customHeight="true" outlineLevel="0" collapsed="false">
      <c r="B6" s="5" t="s">
        <v>213</v>
      </c>
      <c r="C6" s="15" t="s">
        <v>214</v>
      </c>
      <c r="D6" s="54" t="n">
        <f aca="false">Paramètres!C14</f>
        <v>0.05</v>
      </c>
      <c r="E6" s="54" t="n">
        <f aca="false">Paramètres!D14</f>
        <v>0.1</v>
      </c>
      <c r="F6" s="54" t="n">
        <f aca="false">Paramètres!E14</f>
        <v>0.15</v>
      </c>
      <c r="G6" s="54" t="n">
        <f aca="false">Paramètres!C14</f>
        <v>0.05</v>
      </c>
      <c r="H6" s="54" t="n">
        <f aca="false">Paramètres!D14</f>
        <v>0.1</v>
      </c>
      <c r="I6" s="54" t="n">
        <f aca="false">Paramètres!E14</f>
        <v>0.15</v>
      </c>
      <c r="J6" s="54" t="n">
        <f aca="false">Paramètres!C14</f>
        <v>0.05</v>
      </c>
      <c r="K6" s="54" t="n">
        <f aca="false">Paramètres!D14</f>
        <v>0.1</v>
      </c>
      <c r="L6" s="54" t="n">
        <f aca="false">Paramètres!E14</f>
        <v>0.15</v>
      </c>
      <c r="N6" s="28" t="s">
        <v>215</v>
      </c>
      <c r="O6" s="28" t="s">
        <v>216</v>
      </c>
      <c r="P6" s="28" t="s">
        <v>217</v>
      </c>
    </row>
    <row r="7" customFormat="false" ht="15" hidden="false" customHeight="true" outlineLevel="0" collapsed="false">
      <c r="B7" s="5" t="s">
        <v>179</v>
      </c>
      <c r="C7" s="15" t="s">
        <v>214</v>
      </c>
      <c r="D7" s="54" t="n">
        <f aca="false">Paramètres!C15</f>
        <v>0.02</v>
      </c>
      <c r="E7" s="54" t="n">
        <f aca="false">Paramètres!D15</f>
        <v>0.035</v>
      </c>
      <c r="F7" s="54" t="n">
        <f aca="false">Paramètres!E15</f>
        <v>0.05</v>
      </c>
      <c r="G7" s="54" t="n">
        <f aca="false">Paramètres!C15</f>
        <v>0.02</v>
      </c>
      <c r="H7" s="54" t="n">
        <f aca="false">Paramètres!D15</f>
        <v>0.035</v>
      </c>
      <c r="I7" s="54" t="n">
        <f aca="false">Paramètres!E15</f>
        <v>0.05</v>
      </c>
      <c r="J7" s="54" t="n">
        <f aca="false">Paramètres!C15</f>
        <v>0.02</v>
      </c>
      <c r="K7" s="54" t="n">
        <f aca="false">Paramètres!D15</f>
        <v>0.035</v>
      </c>
      <c r="L7" s="54" t="n">
        <f aca="false">Paramètres!E15</f>
        <v>0.05</v>
      </c>
      <c r="N7" s="5" t="s">
        <v>218</v>
      </c>
      <c r="O7" s="32" t="n">
        <f aca="false">E15</f>
        <v>0.381738461538462</v>
      </c>
      <c r="P7" s="32" t="n">
        <f aca="false">E19</f>
        <v>0.6</v>
      </c>
    </row>
    <row r="8" customFormat="false" ht="15" hidden="false" customHeight="true" outlineLevel="0" collapsed="false">
      <c r="B8" s="5" t="s">
        <v>219</v>
      </c>
      <c r="C8" s="15" t="s">
        <v>214</v>
      </c>
      <c r="D8" s="54" t="n">
        <f aca="false">Paramètres!C16</f>
        <v>0.02</v>
      </c>
      <c r="E8" s="54" t="n">
        <f aca="false">Paramètres!D16</f>
        <v>0.035</v>
      </c>
      <c r="F8" s="54" t="n">
        <f aca="false">Paramètres!E16</f>
        <v>0.05</v>
      </c>
      <c r="G8" s="54" t="n">
        <f aca="false">Paramètres!C17</f>
        <v>0.05</v>
      </c>
      <c r="H8" s="54" t="n">
        <f aca="false">Paramètres!D17</f>
        <v>0.1</v>
      </c>
      <c r="I8" s="54" t="n">
        <f aca="false">Paramètres!E17</f>
        <v>0.15</v>
      </c>
      <c r="J8" s="54" t="n">
        <f aca="false">Paramètres!C18</f>
        <v>0.15</v>
      </c>
      <c r="K8" s="54" t="n">
        <f aca="false">Paramètres!D18</f>
        <v>0.25</v>
      </c>
      <c r="L8" s="54" t="n">
        <f aca="false">Paramètres!E18</f>
        <v>0.4</v>
      </c>
      <c r="N8" s="5" t="s">
        <v>209</v>
      </c>
      <c r="O8" s="32" t="n">
        <f aca="false">H15</f>
        <v>0.672192307692308</v>
      </c>
      <c r="P8" s="32" t="n">
        <f aca="false">H19</f>
        <v>1.25</v>
      </c>
    </row>
    <row r="9" customFormat="false" ht="15" hidden="false" customHeight="true" outlineLevel="0" collapsed="false">
      <c r="B9" s="5" t="s">
        <v>220</v>
      </c>
      <c r="C9" s="15" t="s">
        <v>221</v>
      </c>
      <c r="D9" s="54" t="n">
        <f aca="false">Paramètres!C9/Paramètres!C11</f>
        <v>0.0576923076923077</v>
      </c>
      <c r="E9" s="54" t="n">
        <f aca="false">Paramètres!D9/Paramètres!D11</f>
        <v>0.0576923076923077</v>
      </c>
      <c r="F9" s="54" t="n">
        <f aca="false">Paramètres!E9/Paramètres!E11</f>
        <v>0.0576923076923077</v>
      </c>
      <c r="G9" s="54" t="n">
        <f aca="false">Paramètres!C9/Paramètres!C12</f>
        <v>0.230769230769231</v>
      </c>
      <c r="H9" s="54" t="n">
        <f aca="false">Paramètres!D9/Paramètres!D12</f>
        <v>0.230769230769231</v>
      </c>
      <c r="I9" s="54" t="n">
        <f aca="false">Paramètres!E9/Paramètres!E12</f>
        <v>0.230769230769231</v>
      </c>
      <c r="J9" s="54" t="n">
        <f aca="false">Paramètres!C9/Paramètres!C13</f>
        <v>0.384615384615385</v>
      </c>
      <c r="K9" s="54" t="n">
        <f aca="false">Paramètres!D9/Paramètres!D13</f>
        <v>0.384615384615385</v>
      </c>
      <c r="L9" s="54" t="n">
        <f aca="false">Paramètres!E9/Paramètres!E13</f>
        <v>0.384615384615385</v>
      </c>
      <c r="N9" s="5" t="s">
        <v>222</v>
      </c>
      <c r="O9" s="32" t="n">
        <f aca="false">K15</f>
        <v>1.04288461538462</v>
      </c>
      <c r="P9" s="32" t="n">
        <f aca="false">K19</f>
        <v>2.2</v>
      </c>
    </row>
    <row r="10" customFormat="false" ht="15" hidden="false" customHeight="true" outlineLevel="0" collapsed="false">
      <c r="B10" s="5" t="s">
        <v>223</v>
      </c>
      <c r="C10" s="15" t="s">
        <v>224</v>
      </c>
      <c r="D10" s="54" t="n">
        <f aca="false">Paramètres!C10*Paramètres!C19</f>
        <v>0.0230769230769231</v>
      </c>
      <c r="E10" s="54" t="n">
        <f aca="false">Paramètres!D10*Paramètres!D19</f>
        <v>0.0480769230769231</v>
      </c>
      <c r="F10" s="54" t="n">
        <f aca="false">Paramètres!E10*Paramètres!E19</f>
        <v>0.0807692307692308</v>
      </c>
      <c r="G10" s="54" t="n">
        <f aca="false">Paramètres!C10*Paramètres!C19</f>
        <v>0.0230769230769231</v>
      </c>
      <c r="H10" s="54" t="n">
        <f aca="false">Paramètres!D10*Paramètres!D19</f>
        <v>0.0480769230769231</v>
      </c>
      <c r="I10" s="54" t="n">
        <f aca="false">Paramètres!E10*Paramètres!E19</f>
        <v>0.0807692307692308</v>
      </c>
      <c r="J10" s="54" t="n">
        <f aca="false">Paramètres!C10*Paramètres!C19</f>
        <v>0.0230769230769231</v>
      </c>
      <c r="K10" s="54" t="n">
        <f aca="false">Paramètres!D10*Paramètres!D19</f>
        <v>0.0480769230769231</v>
      </c>
      <c r="L10" s="54" t="n">
        <f aca="false">Paramètres!E10*Paramètres!E19</f>
        <v>0.0807692307692308</v>
      </c>
    </row>
    <row r="11" customFormat="false" ht="15" hidden="false" customHeight="true" outlineLevel="0" collapsed="false">
      <c r="B11" s="55" t="s">
        <v>225</v>
      </c>
      <c r="C11" s="56" t="s">
        <v>226</v>
      </c>
      <c r="D11" s="57" t="n">
        <f aca="false">SUM(D6:D10)</f>
        <v>0.170769230769231</v>
      </c>
      <c r="E11" s="57" t="n">
        <f aca="false">SUM(E6:E10)</f>
        <v>0.275769230769231</v>
      </c>
      <c r="F11" s="57" t="n">
        <f aca="false">SUM(F6:F10)</f>
        <v>0.388461538461538</v>
      </c>
      <c r="G11" s="57" t="n">
        <f aca="false">SUM(G6:G10)</f>
        <v>0.373846153846154</v>
      </c>
      <c r="H11" s="57" t="n">
        <f aca="false">SUM(H6:H10)</f>
        <v>0.513846153846154</v>
      </c>
      <c r="I11" s="57" t="n">
        <f aca="false">SUM(I6:I10)</f>
        <v>0.661538461538462</v>
      </c>
      <c r="J11" s="57" t="n">
        <f aca="false">SUM(J6:J10)</f>
        <v>0.627692307692308</v>
      </c>
      <c r="K11" s="57" t="n">
        <f aca="false">SUM(K6:K10)</f>
        <v>0.817692307692308</v>
      </c>
      <c r="L11" s="57" t="n">
        <f aca="false">SUM(L6:L10)</f>
        <v>1.06538461538462</v>
      </c>
    </row>
    <row r="12" customFormat="false" ht="15" hidden="false" customHeight="true" outlineLevel="0" collapsed="false">
      <c r="B12" s="5" t="s">
        <v>190</v>
      </c>
      <c r="C12" s="15" t="s">
        <v>227</v>
      </c>
      <c r="D12" s="54" t="n">
        <f aca="false">D11*Paramètres!C20</f>
        <v>0.0256153846153846</v>
      </c>
      <c r="E12" s="54" t="n">
        <f aca="false">E11*Paramètres!D20</f>
        <v>0.0606692307692308</v>
      </c>
      <c r="F12" s="54" t="n">
        <f aca="false">F11*Paramètres!E20</f>
        <v>0.116538461538462</v>
      </c>
      <c r="G12" s="54" t="n">
        <f aca="false">G11*Paramètres!C20</f>
        <v>0.0560769230769231</v>
      </c>
      <c r="H12" s="54" t="n">
        <f aca="false">H11*Paramètres!D20</f>
        <v>0.113046153846154</v>
      </c>
      <c r="I12" s="54" t="n">
        <f aca="false">I11*Paramètres!E20</f>
        <v>0.198461538461538</v>
      </c>
      <c r="J12" s="54" t="n">
        <f aca="false">J11*Paramètres!C20</f>
        <v>0.0941538461538461</v>
      </c>
      <c r="K12" s="54" t="n">
        <f aca="false">K11*Paramètres!D20</f>
        <v>0.179892307692308</v>
      </c>
      <c r="L12" s="54" t="n">
        <f aca="false">L11*Paramètres!E20</f>
        <v>0.319615384615385</v>
      </c>
    </row>
    <row r="13" customFormat="false" ht="15" hidden="false" customHeight="true" outlineLevel="0" collapsed="false">
      <c r="B13" s="5" t="s">
        <v>228</v>
      </c>
      <c r="C13" s="15" t="s">
        <v>214</v>
      </c>
      <c r="D13" s="54" t="n">
        <f aca="false">Paramètres!C21</f>
        <v>0.01</v>
      </c>
      <c r="E13" s="54" t="n">
        <f aca="false">Paramètres!D21</f>
        <v>0.02</v>
      </c>
      <c r="F13" s="54" t="n">
        <f aca="false">Paramètres!E21</f>
        <v>0.03</v>
      </c>
      <c r="G13" s="54" t="n">
        <f aca="false">Paramètres!C21</f>
        <v>0.01</v>
      </c>
      <c r="H13" s="54" t="n">
        <f aca="false">Paramètres!D21</f>
        <v>0.02</v>
      </c>
      <c r="I13" s="54" t="n">
        <f aca="false">Paramètres!E21</f>
        <v>0.03</v>
      </c>
      <c r="J13" s="54" t="n">
        <f aca="false">Paramètres!C21</f>
        <v>0.01</v>
      </c>
      <c r="K13" s="54" t="n">
        <f aca="false">Paramètres!D21</f>
        <v>0.02</v>
      </c>
      <c r="L13" s="54" t="n">
        <f aca="false">Paramètres!E21</f>
        <v>0.03</v>
      </c>
    </row>
    <row r="14" customFormat="false" ht="15" hidden="false" customHeight="true" outlineLevel="0" collapsed="false">
      <c r="B14" s="5" t="s">
        <v>195</v>
      </c>
      <c r="C14" s="15" t="s">
        <v>229</v>
      </c>
      <c r="D14" s="54" t="n">
        <f aca="false">Paramètres!C22</f>
        <v>0.0253</v>
      </c>
      <c r="E14" s="54" t="n">
        <f aca="false">Paramètres!D22</f>
        <v>0.0253</v>
      </c>
      <c r="F14" s="54" t="n">
        <f aca="false">Paramètres!E22</f>
        <v>0.0253</v>
      </c>
      <c r="G14" s="54" t="n">
        <f aca="false">Paramètres!C22</f>
        <v>0.0253</v>
      </c>
      <c r="H14" s="54" t="n">
        <f aca="false">Paramètres!D22</f>
        <v>0.0253</v>
      </c>
      <c r="I14" s="54" t="n">
        <f aca="false">Paramètres!E22</f>
        <v>0.0253</v>
      </c>
      <c r="J14" s="54" t="n">
        <f aca="false">Paramètres!C22</f>
        <v>0.0253</v>
      </c>
      <c r="K14" s="54" t="n">
        <f aca="false">Paramètres!D22</f>
        <v>0.0253</v>
      </c>
      <c r="L14" s="54" t="n">
        <f aca="false">Paramètres!E22</f>
        <v>0.0253</v>
      </c>
    </row>
    <row r="15" customFormat="false" ht="15" hidden="false" customHeight="true" outlineLevel="0" collapsed="false">
      <c r="B15" s="16" t="s">
        <v>230</v>
      </c>
      <c r="C15" s="58" t="s">
        <v>231</v>
      </c>
      <c r="D15" s="59" t="n">
        <f aca="false">D11+D12+D13+D14</f>
        <v>0.231684615384615</v>
      </c>
      <c r="E15" s="59" t="n">
        <f aca="false">E11+E12+E13+E14</f>
        <v>0.381738461538462</v>
      </c>
      <c r="F15" s="59" t="n">
        <f aca="false">F11+F12+F13+F14</f>
        <v>0.5603</v>
      </c>
      <c r="G15" s="59" t="n">
        <f aca="false">G11+G12+G13+G14</f>
        <v>0.465223076923077</v>
      </c>
      <c r="H15" s="59" t="n">
        <f aca="false">H11+H12+H13+H14</f>
        <v>0.672192307692308</v>
      </c>
      <c r="I15" s="59" t="n">
        <f aca="false">I11+I12+I13+I14</f>
        <v>0.9153</v>
      </c>
      <c r="J15" s="59" t="n">
        <f aca="false">J11+J12+J13+J14</f>
        <v>0.757146153846154</v>
      </c>
      <c r="K15" s="59" t="n">
        <f aca="false">K11+K12+K13+K14</f>
        <v>1.04288461538462</v>
      </c>
      <c r="L15" s="59" t="n">
        <f aca="false">L11+L12+L13+L14</f>
        <v>1.4403</v>
      </c>
    </row>
    <row r="17" customFormat="false" ht="15" hidden="false" customHeight="true" outlineLevel="0" collapsed="false">
      <c r="B17" s="14" t="s">
        <v>232</v>
      </c>
      <c r="C17" s="60" t="s">
        <v>233</v>
      </c>
      <c r="D17" s="61" t="n">
        <v>0.4</v>
      </c>
      <c r="E17" s="61" t="n">
        <v>0.4</v>
      </c>
      <c r="F17" s="61" t="n">
        <v>0.4</v>
      </c>
      <c r="G17" s="61" t="n">
        <v>1</v>
      </c>
      <c r="H17" s="61" t="n">
        <v>1</v>
      </c>
      <c r="I17" s="61" t="n">
        <v>1</v>
      </c>
      <c r="J17" s="61" t="n">
        <v>1.8</v>
      </c>
      <c r="K17" s="61" t="n">
        <v>1.8</v>
      </c>
      <c r="L17" s="61" t="n">
        <v>1.8</v>
      </c>
    </row>
    <row r="18" customFormat="false" ht="15" hidden="false" customHeight="true" outlineLevel="0" collapsed="false">
      <c r="B18" s="14" t="s">
        <v>234</v>
      </c>
      <c r="C18" s="60" t="s">
        <v>235</v>
      </c>
      <c r="D18" s="61" t="n">
        <v>0.8</v>
      </c>
      <c r="E18" s="61" t="n">
        <v>0.8</v>
      </c>
      <c r="F18" s="61" t="n">
        <v>0.8</v>
      </c>
      <c r="G18" s="61" t="n">
        <v>1.5</v>
      </c>
      <c r="H18" s="61" t="n">
        <v>1.5</v>
      </c>
      <c r="I18" s="61" t="n">
        <v>1.5</v>
      </c>
      <c r="J18" s="61" t="n">
        <v>2.6</v>
      </c>
      <c r="K18" s="61" t="n">
        <v>2.6</v>
      </c>
      <c r="L18" s="61" t="n">
        <v>2.6</v>
      </c>
    </row>
    <row r="19" customFormat="false" ht="15" hidden="false" customHeight="true" outlineLevel="0" collapsed="false">
      <c r="B19" s="16" t="s">
        <v>236</v>
      </c>
      <c r="C19" s="58" t="s">
        <v>237</v>
      </c>
      <c r="D19" s="62" t="n">
        <v>0.6</v>
      </c>
      <c r="E19" s="62" t="n">
        <v>0.6</v>
      </c>
      <c r="F19" s="62" t="n">
        <v>0.6</v>
      </c>
      <c r="G19" s="62" t="n">
        <v>1.25</v>
      </c>
      <c r="H19" s="62" t="n">
        <v>1.25</v>
      </c>
      <c r="I19" s="62" t="n">
        <v>1.25</v>
      </c>
      <c r="J19" s="62" t="n">
        <v>2.2</v>
      </c>
      <c r="K19" s="62" t="n">
        <v>2.2</v>
      </c>
      <c r="L19" s="62" t="n">
        <v>2.2</v>
      </c>
    </row>
    <row r="20" customFormat="false" ht="15" hidden="false" customHeight="true" outlineLevel="0" collapsed="false">
      <c r="B20" s="18" t="s">
        <v>238</v>
      </c>
      <c r="C20" s="15" t="s">
        <v>239</v>
      </c>
      <c r="D20" s="63" t="n">
        <f aca="false">D19-D15</f>
        <v>0.368315384615385</v>
      </c>
      <c r="E20" s="63" t="n">
        <f aca="false">E19-E15</f>
        <v>0.218261538461538</v>
      </c>
      <c r="F20" s="63" t="n">
        <f aca="false">F19-F15</f>
        <v>0.0397</v>
      </c>
      <c r="G20" s="63" t="n">
        <f aca="false">G19-G15</f>
        <v>0.784776923076923</v>
      </c>
      <c r="H20" s="63" t="n">
        <f aca="false">H19-H15</f>
        <v>0.577807692307692</v>
      </c>
      <c r="I20" s="63" t="n">
        <f aca="false">I19-I15</f>
        <v>0.3347</v>
      </c>
      <c r="J20" s="63" t="n">
        <f aca="false">J19-J15</f>
        <v>1.44285384615385</v>
      </c>
      <c r="K20" s="63" t="n">
        <f aca="false">K19-K15</f>
        <v>1.15711538461538</v>
      </c>
      <c r="L20" s="63" t="n">
        <f aca="false">L19-L15</f>
        <v>0.7597</v>
      </c>
    </row>
    <row r="21" customFormat="false" ht="15" hidden="false" customHeight="true" outlineLevel="0" collapsed="false">
      <c r="B21" s="5" t="s">
        <v>240</v>
      </c>
      <c r="C21" s="15" t="s">
        <v>241</v>
      </c>
      <c r="D21" s="64" t="n">
        <f aca="false">(D19-D15)/D19</f>
        <v>0.613858974358974</v>
      </c>
      <c r="E21" s="64" t="n">
        <f aca="false">(E19-E15)/E19</f>
        <v>0.363769230769231</v>
      </c>
      <c r="F21" s="64" t="n">
        <f aca="false">(F19-F15)/F19</f>
        <v>0.0661666666666666</v>
      </c>
      <c r="G21" s="64" t="n">
        <f aca="false">(G19-G15)/G19</f>
        <v>0.627821538461538</v>
      </c>
      <c r="H21" s="64" t="n">
        <f aca="false">(H19-H15)/H19</f>
        <v>0.462246153846154</v>
      </c>
      <c r="I21" s="64" t="n">
        <f aca="false">(I19-I15)/I19</f>
        <v>0.26776</v>
      </c>
      <c r="J21" s="64" t="n">
        <f aca="false">(J19-J15)/J19</f>
        <v>0.655842657342658</v>
      </c>
      <c r="K21" s="64" t="n">
        <f aca="false">(K19-K15)/K19</f>
        <v>0.525961538461539</v>
      </c>
      <c r="L21" s="64" t="n">
        <f aca="false">(L19-L15)/L19</f>
        <v>0.345318181818182</v>
      </c>
    </row>
    <row r="22" customFormat="false" ht="15" hidden="false" customHeight="true" outlineLevel="0" collapsed="false">
      <c r="B22" s="5" t="s">
        <v>242</v>
      </c>
      <c r="C22" s="15" t="s">
        <v>243</v>
      </c>
      <c r="D22" s="65" t="n">
        <f aca="false">D19*Paramètres!C25*20</f>
        <v>3.753</v>
      </c>
      <c r="E22" s="65" t="n">
        <f aca="false">E19*Paramètres!D25*20</f>
        <v>3.753</v>
      </c>
      <c r="F22" s="65" t="n">
        <f aca="false">F19*Paramètres!E25*20</f>
        <v>3.753</v>
      </c>
      <c r="G22" s="65" t="n">
        <f aca="false">G19*Paramètres!C25*20</f>
        <v>7.81875</v>
      </c>
      <c r="H22" s="65" t="n">
        <f aca="false">H19*Paramètres!D25*20</f>
        <v>7.81875</v>
      </c>
      <c r="I22" s="65" t="n">
        <f aca="false">I19*Paramètres!E25*20</f>
        <v>7.81875</v>
      </c>
      <c r="J22" s="65" t="n">
        <f aca="false">J19*Paramètres!C25*20</f>
        <v>13.761</v>
      </c>
      <c r="K22" s="65" t="n">
        <f aca="false">K19*Paramètres!D25*20</f>
        <v>13.761</v>
      </c>
      <c r="L22" s="65" t="n">
        <f aca="false">L19*Paramètres!E25*20</f>
        <v>13.761</v>
      </c>
    </row>
    <row r="23" customFormat="false" ht="15" hidden="false" customHeight="true" outlineLevel="0" collapsed="false">
      <c r="B23" s="5" t="s">
        <v>244</v>
      </c>
      <c r="C23" s="15" t="s">
        <v>245</v>
      </c>
      <c r="D23" s="65" t="n">
        <f aca="false">D19/Paramètres!C6</f>
        <v>0.3</v>
      </c>
      <c r="E23" s="65" t="n">
        <f aca="false">E19/Paramètres!D6</f>
        <v>0.24</v>
      </c>
      <c r="F23" s="65" t="n">
        <f aca="false">F19/Paramètres!E6</f>
        <v>0.2</v>
      </c>
      <c r="G23" s="65" t="n">
        <f aca="false">G19/Paramètres!C6</f>
        <v>0.625</v>
      </c>
      <c r="H23" s="65" t="n">
        <f aca="false">H19/Paramètres!D6</f>
        <v>0.5</v>
      </c>
      <c r="I23" s="65" t="n">
        <f aca="false">I19/Paramètres!E6</f>
        <v>0.416666666666667</v>
      </c>
      <c r="J23" s="65" t="n">
        <f aca="false">J19/Paramètres!C6</f>
        <v>1.1</v>
      </c>
      <c r="K23" s="65" t="n">
        <f aca="false">K19/Paramètres!D6</f>
        <v>0.88</v>
      </c>
      <c r="L23" s="65" t="n">
        <f aca="false">L19/Paramètres!E6</f>
        <v>0.733333333333333</v>
      </c>
    </row>
    <row r="25" customFormat="false" ht="15" hidden="false" customHeight="true" outlineLevel="0" collapsed="false">
      <c r="B25" s="50" t="s">
        <v>246</v>
      </c>
      <c r="C25" s="50"/>
      <c r="D25" s="50"/>
      <c r="E25" s="50"/>
      <c r="F25" s="50"/>
      <c r="G25" s="50"/>
      <c r="H25" s="50"/>
      <c r="I25" s="50"/>
      <c r="J25" s="50"/>
      <c r="K25" s="50"/>
      <c r="L25" s="50"/>
    </row>
    <row r="26" customFormat="false" ht="15" hidden="false" customHeight="true" outlineLevel="0" collapsed="false">
      <c r="B26" s="50"/>
      <c r="C26" s="50"/>
      <c r="D26" s="50"/>
      <c r="E26" s="50"/>
      <c r="F26" s="50"/>
      <c r="G26" s="50"/>
      <c r="H26" s="50"/>
      <c r="I26" s="50"/>
      <c r="J26" s="50"/>
      <c r="K26" s="50"/>
      <c r="L26" s="50"/>
    </row>
    <row r="27" customFormat="false" ht="15" hidden="false" customHeight="true" outlineLevel="0" collapsed="false">
      <c r="B27" s="50"/>
      <c r="C27" s="50"/>
      <c r="D27" s="50"/>
      <c r="E27" s="50"/>
      <c r="F27" s="50"/>
      <c r="G27" s="50"/>
      <c r="H27" s="50"/>
      <c r="I27" s="50"/>
      <c r="J27" s="50"/>
      <c r="K27" s="50"/>
      <c r="L27" s="50"/>
    </row>
  </sheetData>
  <mergeCells count="4">
    <mergeCell ref="D4:F4"/>
    <mergeCell ref="G4:I4"/>
    <mergeCell ref="J4:L4"/>
    <mergeCell ref="B25:L2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O1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15"/>
    <col collapsed="false" customWidth="true" hidden="false" outlineLevel="0" max="3" min="3" style="1" width="11"/>
    <col collapsed="false" customWidth="true" hidden="false" outlineLevel="0" max="4" min="4" style="1" width="34"/>
    <col collapsed="false" customWidth="true" hidden="false" outlineLevel="0" max="5" min="5" style="1" width="26"/>
    <col collapsed="false" customWidth="true" hidden="false" outlineLevel="0" max="6" min="6" style="1" width="11"/>
    <col collapsed="false" customWidth="true" hidden="false" outlineLevel="0" max="7" min="7" style="1" width="10"/>
    <col collapsed="false" customWidth="true" hidden="false" outlineLevel="0" max="8" min="8" style="1" width="11"/>
    <col collapsed="false" customWidth="true" hidden="false" outlineLevel="0" max="9" min="9" style="1" width="32"/>
    <col collapsed="false" customWidth="true" hidden="false" outlineLevel="0" max="10" min="10" style="1" width="26"/>
    <col collapsed="false" customWidth="true" hidden="false" outlineLevel="0" max="11" min="11" style="1" width="34"/>
    <col collapsed="false" customWidth="true" hidden="false" outlineLevel="0" max="12" min="12" style="1" width="26"/>
  </cols>
  <sheetData>
    <row r="2" customFormat="false" ht="30" hidden="false" customHeight="true" outlineLevel="0" collapsed="false">
      <c r="B2" s="2" t="s">
        <v>247</v>
      </c>
    </row>
    <row r="3" customFormat="false" ht="15.75" hidden="false" customHeight="true" outlineLevel="0" collapsed="false">
      <c r="B3" s="3" t="s">
        <v>248</v>
      </c>
    </row>
    <row r="5" customFormat="false" ht="31.5" hidden="false" customHeight="true" outlineLevel="0" collapsed="false">
      <c r="B5" s="27" t="s">
        <v>249</v>
      </c>
      <c r="C5" s="27" t="s">
        <v>250</v>
      </c>
      <c r="D5" s="27" t="s">
        <v>251</v>
      </c>
      <c r="E5" s="27" t="s">
        <v>252</v>
      </c>
      <c r="F5" s="27" t="s">
        <v>253</v>
      </c>
      <c r="G5" s="27" t="s">
        <v>254</v>
      </c>
      <c r="H5" s="27" t="s">
        <v>255</v>
      </c>
      <c r="I5" s="27" t="s">
        <v>256</v>
      </c>
      <c r="J5" s="27" t="s">
        <v>257</v>
      </c>
      <c r="K5" s="27" t="s">
        <v>258</v>
      </c>
      <c r="L5" s="27" t="s">
        <v>259</v>
      </c>
      <c r="N5" s="26" t="s">
        <v>44</v>
      </c>
    </row>
    <row r="6" customFormat="false" ht="57.75" hidden="false" customHeight="true" outlineLevel="0" collapsed="false">
      <c r="B6" s="18" t="s">
        <v>260</v>
      </c>
      <c r="C6" s="66" t="s">
        <v>261</v>
      </c>
      <c r="D6" s="67" t="s">
        <v>262</v>
      </c>
      <c r="E6" s="67" t="s">
        <v>263</v>
      </c>
      <c r="F6" s="68" t="s">
        <v>263</v>
      </c>
      <c r="G6" s="69" t="n">
        <v>2</v>
      </c>
      <c r="H6" s="68" t="s">
        <v>263</v>
      </c>
      <c r="I6" s="67" t="s">
        <v>264</v>
      </c>
      <c r="J6" s="67" t="s">
        <v>265</v>
      </c>
      <c r="K6" s="67" t="s">
        <v>266</v>
      </c>
      <c r="L6" s="67" t="s">
        <v>267</v>
      </c>
      <c r="N6" s="28" t="s">
        <v>249</v>
      </c>
      <c r="O6" s="28" t="s">
        <v>268</v>
      </c>
    </row>
    <row r="7" customFormat="false" ht="57.75" hidden="false" customHeight="true" outlineLevel="0" collapsed="false">
      <c r="B7" s="18" t="s">
        <v>269</v>
      </c>
      <c r="C7" s="70" t="s">
        <v>270</v>
      </c>
      <c r="D7" s="15" t="s">
        <v>271</v>
      </c>
      <c r="E7" s="15" t="s">
        <v>272</v>
      </c>
      <c r="F7" s="71" t="n">
        <v>1.5</v>
      </c>
      <c r="G7" s="72" t="n">
        <v>5</v>
      </c>
      <c r="H7" s="73" t="n">
        <f aca="false">F7*Paramètres!D25*20</f>
        <v>9.3825</v>
      </c>
      <c r="I7" s="15" t="s">
        <v>273</v>
      </c>
      <c r="J7" s="15" t="s">
        <v>274</v>
      </c>
      <c r="K7" s="15" t="s">
        <v>275</v>
      </c>
      <c r="L7" s="15" t="s">
        <v>276</v>
      </c>
      <c r="N7" s="5" t="s">
        <v>277</v>
      </c>
      <c r="O7" s="74" t="n">
        <f aca="false">G6</f>
        <v>2</v>
      </c>
    </row>
    <row r="8" customFormat="false" ht="57.75" hidden="false" customHeight="true" outlineLevel="0" collapsed="false">
      <c r="B8" s="18" t="s">
        <v>278</v>
      </c>
      <c r="C8" s="70" t="s">
        <v>279</v>
      </c>
      <c r="D8" s="15" t="s">
        <v>280</v>
      </c>
      <c r="E8" s="15" t="s">
        <v>281</v>
      </c>
      <c r="F8" s="71" t="n">
        <v>1</v>
      </c>
      <c r="G8" s="72" t="n">
        <v>7</v>
      </c>
      <c r="H8" s="73" t="n">
        <f aca="false">F8*Paramètres!D25*20</f>
        <v>6.255</v>
      </c>
      <c r="I8" s="15" t="s">
        <v>282</v>
      </c>
      <c r="J8" s="15" t="s">
        <v>283</v>
      </c>
      <c r="K8" s="15" t="s">
        <v>284</v>
      </c>
      <c r="L8" s="15" t="s">
        <v>285</v>
      </c>
      <c r="N8" s="5" t="s">
        <v>286</v>
      </c>
      <c r="O8" s="74" t="n">
        <f aca="false">G7</f>
        <v>5</v>
      </c>
    </row>
    <row r="9" customFormat="false" ht="57.75" hidden="false" customHeight="true" outlineLevel="0" collapsed="false">
      <c r="B9" s="18" t="s">
        <v>287</v>
      </c>
      <c r="C9" s="70" t="s">
        <v>288</v>
      </c>
      <c r="D9" s="15" t="s">
        <v>289</v>
      </c>
      <c r="E9" s="15" t="s">
        <v>290</v>
      </c>
      <c r="F9" s="71" t="n">
        <v>1.5</v>
      </c>
      <c r="G9" s="72" t="n">
        <v>10</v>
      </c>
      <c r="H9" s="73" t="n">
        <f aca="false">F9*Paramètres!D25*20</f>
        <v>9.3825</v>
      </c>
      <c r="I9" s="15" t="s">
        <v>291</v>
      </c>
      <c r="J9" s="15" t="s">
        <v>292</v>
      </c>
      <c r="K9" s="15" t="s">
        <v>293</v>
      </c>
      <c r="L9" s="15" t="s">
        <v>294</v>
      </c>
      <c r="N9" s="5" t="s">
        <v>295</v>
      </c>
      <c r="O9" s="74" t="n">
        <f aca="false">G8</f>
        <v>7</v>
      </c>
    </row>
    <row r="10" customFormat="false" ht="57.75" hidden="false" customHeight="true" outlineLevel="0" collapsed="false">
      <c r="B10" s="18" t="s">
        <v>296</v>
      </c>
      <c r="C10" s="70" t="s">
        <v>297</v>
      </c>
      <c r="D10" s="15" t="s">
        <v>298</v>
      </c>
      <c r="E10" s="15" t="s">
        <v>263</v>
      </c>
      <c r="F10" s="75" t="n">
        <v>1.5</v>
      </c>
      <c r="G10" s="72" t="n">
        <v>5</v>
      </c>
      <c r="H10" s="73" t="n">
        <f aca="false">F10*Paramètres!D25*20</f>
        <v>9.3825</v>
      </c>
      <c r="I10" s="15" t="s">
        <v>299</v>
      </c>
      <c r="J10" s="15" t="s">
        <v>300</v>
      </c>
      <c r="K10" s="15" t="s">
        <v>301</v>
      </c>
      <c r="L10" s="15" t="s">
        <v>302</v>
      </c>
      <c r="N10" s="5" t="s">
        <v>303</v>
      </c>
      <c r="O10" s="74" t="n">
        <f aca="false">G9</f>
        <v>10</v>
      </c>
    </row>
    <row r="11" customFormat="false" ht="57.75" hidden="false" customHeight="true" outlineLevel="0" collapsed="false">
      <c r="B11" s="18" t="s">
        <v>304</v>
      </c>
      <c r="C11" s="70" t="s">
        <v>305</v>
      </c>
      <c r="D11" s="15" t="s">
        <v>306</v>
      </c>
      <c r="E11" s="15" t="s">
        <v>263</v>
      </c>
      <c r="F11" s="75" t="n">
        <v>1.2</v>
      </c>
      <c r="G11" s="72" t="n">
        <v>3</v>
      </c>
      <c r="H11" s="73" t="n">
        <f aca="false">F11*Paramètres!D25*20</f>
        <v>7.506</v>
      </c>
      <c r="I11" s="15" t="s">
        <v>307</v>
      </c>
      <c r="J11" s="15" t="s">
        <v>308</v>
      </c>
      <c r="K11" s="15" t="s">
        <v>309</v>
      </c>
      <c r="L11" s="15" t="s">
        <v>310</v>
      </c>
      <c r="N11" s="5" t="s">
        <v>311</v>
      </c>
      <c r="O11" s="74" t="n">
        <f aca="false">G10</f>
        <v>5</v>
      </c>
    </row>
    <row r="12" customFormat="false" ht="57.75" hidden="false" customHeight="true" outlineLevel="0" collapsed="false">
      <c r="B12" s="18" t="s">
        <v>312</v>
      </c>
      <c r="C12" s="70" t="s">
        <v>313</v>
      </c>
      <c r="D12" s="15" t="s">
        <v>314</v>
      </c>
      <c r="E12" s="15" t="s">
        <v>263</v>
      </c>
      <c r="F12" s="76" t="s">
        <v>263</v>
      </c>
      <c r="G12" s="72" t="n">
        <v>1</v>
      </c>
      <c r="H12" s="76" t="s">
        <v>263</v>
      </c>
      <c r="I12" s="15" t="s">
        <v>315</v>
      </c>
      <c r="J12" s="15" t="s">
        <v>316</v>
      </c>
      <c r="K12" s="15" t="s">
        <v>317</v>
      </c>
      <c r="L12" s="15" t="s">
        <v>318</v>
      </c>
      <c r="N12" s="5" t="s">
        <v>319</v>
      </c>
      <c r="O12" s="74" t="n">
        <f aca="false">G11</f>
        <v>3</v>
      </c>
    </row>
    <row r="13" customFormat="false" ht="15" hidden="false" customHeight="true" outlineLevel="0" collapsed="false">
      <c r="N13" s="5" t="s">
        <v>320</v>
      </c>
      <c r="O13" s="74" t="n">
        <f aca="false">G12</f>
        <v>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2" min="2" style="1" width="30"/>
    <col collapsed="false" customWidth="true" hidden="false" outlineLevel="0" max="3" min="3" style="1" width="12"/>
    <col collapsed="false" customWidth="true" hidden="false" outlineLevel="0" max="4" min="4" style="1" width="16"/>
    <col collapsed="false" customWidth="true" hidden="false" outlineLevel="0" max="5" min="5" style="1" width="22"/>
    <col collapsed="false" customWidth="true" hidden="false" outlineLevel="0" max="6" min="6" style="1" width="16"/>
    <col collapsed="false" customWidth="true" hidden="false" outlineLevel="0" max="7" min="7" style="1" width="26"/>
    <col collapsed="false" customWidth="true" hidden="false" outlineLevel="0" max="8" min="8" style="1" width="10"/>
  </cols>
  <sheetData>
    <row r="1" customFormat="false" ht="15" hidden="false" customHeight="true" outlineLevel="0" collapsed="false">
      <c r="A1" s="77" t="s">
        <v>321</v>
      </c>
    </row>
    <row r="2" customFormat="false" ht="15" hidden="false" customHeight="true" outlineLevel="0" collapsed="false">
      <c r="A2" s="78" t="s">
        <v>322</v>
      </c>
    </row>
    <row r="4" customFormat="false" ht="15" hidden="false" customHeight="true" outlineLevel="0" collapsed="false">
      <c r="A4" s="79" t="s">
        <v>323</v>
      </c>
      <c r="B4" s="79"/>
      <c r="C4" s="79"/>
      <c r="D4" s="79"/>
      <c r="E4" s="79"/>
      <c r="F4" s="79"/>
      <c r="G4" s="79"/>
      <c r="H4" s="79"/>
    </row>
    <row r="5" customFormat="false" ht="15" hidden="false" customHeight="true" outlineLevel="0" collapsed="false">
      <c r="A5" s="80" t="s">
        <v>45</v>
      </c>
      <c r="B5" s="80" t="s">
        <v>324</v>
      </c>
      <c r="C5" s="80" t="s">
        <v>325</v>
      </c>
      <c r="D5" s="80" t="s">
        <v>326</v>
      </c>
      <c r="E5" s="80" t="s">
        <v>327</v>
      </c>
      <c r="F5" s="80" t="s">
        <v>328</v>
      </c>
      <c r="G5" s="80" t="s">
        <v>329</v>
      </c>
      <c r="H5" s="80" t="s">
        <v>124</v>
      </c>
    </row>
    <row r="6" customFormat="false" ht="15" hidden="false" customHeight="true" outlineLevel="0" collapsed="false">
      <c r="A6" s="21" t="n">
        <v>1753</v>
      </c>
      <c r="B6" s="21" t="s">
        <v>330</v>
      </c>
      <c r="C6" s="81" t="n">
        <v>2</v>
      </c>
      <c r="D6" s="82" t="n">
        <f aca="false">C6/$C$17</f>
        <v>1.49925037481259</v>
      </c>
      <c r="E6" s="83" t="n">
        <f aca="false">C6-'Coût par feuille'!$H$15</f>
        <v>1.32780769230769</v>
      </c>
      <c r="F6" s="84" t="n">
        <f aca="false">E6/C6</f>
        <v>0.663903846153846</v>
      </c>
      <c r="G6" s="21" t="str">
        <f aca="false">IF(F6&lt;0,"Inviable — marge négative",IF(F6&lt;0.15,"Dégradation forte requise",IF(F6&lt;0.35,"Dégradation partielle","Qualité soutenue — polychromie / métaux possibles")))</f>
        <v>Qualité soutenue — polychromie / métaux possibles</v>
      </c>
      <c r="H6" s="85" t="s">
        <v>331</v>
      </c>
    </row>
    <row r="7" customFormat="false" ht="15" hidden="false" customHeight="true" outlineLevel="0" collapsed="false">
      <c r="A7" s="21" t="n">
        <v>1753</v>
      </c>
      <c r="B7" s="21" t="s">
        <v>332</v>
      </c>
      <c r="C7" s="81" t="n">
        <v>0.74</v>
      </c>
      <c r="D7" s="82" t="n">
        <f aca="false">C7/$C$17</f>
        <v>0.55472263868066</v>
      </c>
      <c r="E7" s="83" t="n">
        <f aca="false">C7-'Coût par feuille'!$H$15</f>
        <v>0.0678076923076924</v>
      </c>
      <c r="F7" s="84" t="n">
        <f aca="false">E7/C7</f>
        <v>0.0916320166320167</v>
      </c>
      <c r="G7" s="21" t="str">
        <f aca="false">IF(F7&lt;0,"Inviable — marge négative",IF(F7&lt;0.15,"Dégradation forte requise",IF(F7&lt;0.35,"Dégradation partielle","Qualité soutenue — polychromie / métaux possibles")))</f>
        <v>Dégradation forte requise</v>
      </c>
      <c r="H7" s="85" t="s">
        <v>331</v>
      </c>
    </row>
    <row r="8" customFormat="false" ht="15" hidden="false" customHeight="true" outlineLevel="0" collapsed="false">
      <c r="A8" s="21" t="s">
        <v>333</v>
      </c>
      <c r="B8" s="21" t="s">
        <v>334</v>
      </c>
      <c r="C8" s="81" t="n">
        <v>0.72</v>
      </c>
      <c r="D8" s="82" t="n">
        <f aca="false">C8/$C$17</f>
        <v>0.539730134932534</v>
      </c>
      <c r="E8" s="83" t="n">
        <f aca="false">C8-'Coût par feuille'!$H$15</f>
        <v>0.0478076923076923</v>
      </c>
      <c r="F8" s="84" t="n">
        <f aca="false">E8/C8</f>
        <v>0.0663995726495727</v>
      </c>
      <c r="G8" s="21" t="str">
        <f aca="false">IF(F8&lt;0,"Inviable — marge négative",IF(F8&lt;0.15,"Dégradation forte requise",IF(F8&lt;0.35,"Dégradation partielle","Qualité soutenue — polychromie / métaux possibles")))</f>
        <v>Dégradation forte requise</v>
      </c>
      <c r="H8" s="85" t="s">
        <v>331</v>
      </c>
    </row>
    <row r="9" customFormat="false" ht="15" hidden="false" customHeight="true" outlineLevel="0" collapsed="false">
      <c r="A9" s="21" t="s">
        <v>333</v>
      </c>
      <c r="B9" s="21" t="s">
        <v>335</v>
      </c>
      <c r="C9" s="81" t="n">
        <v>1.2</v>
      </c>
      <c r="D9" s="82" t="n">
        <f aca="false">C9/$C$17</f>
        <v>0.899550224887556</v>
      </c>
      <c r="E9" s="83" t="n">
        <f aca="false">C9-'Coût par feuille'!$H$15</f>
        <v>0.527807692307692</v>
      </c>
      <c r="F9" s="84" t="n">
        <f aca="false">E9/C9</f>
        <v>0.439839743589744</v>
      </c>
      <c r="G9" s="21" t="str">
        <f aca="false">IF(F9&lt;0,"Inviable — marge négative",IF(F9&lt;0.15,"Dégradation forte requise",IF(F9&lt;0.35,"Dégradation partielle","Qualité soutenue — polychromie / métaux possibles")))</f>
        <v>Qualité soutenue — polychromie / métaux possibles</v>
      </c>
      <c r="H9" s="85" t="s">
        <v>331</v>
      </c>
    </row>
    <row r="10" customFormat="false" ht="15" hidden="false" customHeight="true" outlineLevel="0" collapsed="false">
      <c r="A10" s="21" t="n">
        <v>1776</v>
      </c>
      <c r="B10" s="21" t="s">
        <v>336</v>
      </c>
      <c r="C10" s="81" t="n">
        <v>1.03</v>
      </c>
      <c r="D10" s="82" t="n">
        <f aca="false">C10/$C$17</f>
        <v>0.772113943028486</v>
      </c>
      <c r="E10" s="83" t="n">
        <f aca="false">C10-'Coût par feuille'!$H$15</f>
        <v>0.357807692307692</v>
      </c>
      <c r="F10" s="84" t="n">
        <f aca="false">E10/C10</f>
        <v>0.347386109036595</v>
      </c>
      <c r="G10" s="21" t="str">
        <f aca="false">IF(F10&lt;0,"Inviable — marge négative",IF(F10&lt;0.15,"Dégradation forte requise",IF(F10&lt;0.35,"Dégradation partielle","Qualité soutenue — polychromie / métaux possibles")))</f>
        <v>Dégradation partielle</v>
      </c>
      <c r="H10" s="85" t="s">
        <v>331</v>
      </c>
    </row>
    <row r="11" customFormat="false" ht="15" hidden="false" customHeight="true" outlineLevel="0" collapsed="false">
      <c r="A11" s="21" t="n">
        <v>1781</v>
      </c>
      <c r="B11" s="21" t="s">
        <v>337</v>
      </c>
      <c r="C11" s="81" t="n">
        <v>0.666</v>
      </c>
      <c r="D11" s="82" t="n">
        <f aca="false">C11/$C$17</f>
        <v>0.499250374812594</v>
      </c>
      <c r="E11" s="83" t="n">
        <f aca="false">C11-'Coût par feuille'!$H$15</f>
        <v>-0.00619230769230761</v>
      </c>
      <c r="F11" s="84" t="n">
        <f aca="false">E11/C11</f>
        <v>-0.00929775929775917</v>
      </c>
      <c r="G11" s="21" t="str">
        <f aca="false">IF(F11&lt;0,"Inviable — marge négative",IF(F11&lt;0.15,"Dégradation forte requise",IF(F11&lt;0.35,"Dégradation partielle","Qualité soutenue — polychromie / métaux possibles")))</f>
        <v>Inviable — marge négative</v>
      </c>
      <c r="H11" s="85" t="s">
        <v>331</v>
      </c>
    </row>
    <row r="12" customFormat="false" ht="15" hidden="false" customHeight="true" outlineLevel="0" collapsed="false">
      <c r="A12" s="21" t="n">
        <v>1781</v>
      </c>
      <c r="B12" s="21" t="s">
        <v>338</v>
      </c>
      <c r="C12" s="81" t="n">
        <v>1.334</v>
      </c>
      <c r="D12" s="82" t="n">
        <f aca="false">C12/$C$17</f>
        <v>1</v>
      </c>
      <c r="E12" s="83" t="n">
        <f aca="false">C12-'Coût par feuille'!$H$15</f>
        <v>0.661807692307692</v>
      </c>
      <c r="F12" s="84" t="n">
        <f aca="false">E12/C12</f>
        <v>0.496107715373083</v>
      </c>
      <c r="G12" s="21" t="str">
        <f aca="false">IF(F12&lt;0,"Inviable — marge négative",IF(F12&lt;0.15,"Dégradation forte requise",IF(F12&lt;0.35,"Dégradation partielle","Qualité soutenue — polychromie / métaux possibles")))</f>
        <v>Qualité soutenue — polychromie / métaux possibles</v>
      </c>
      <c r="H12" s="85" t="s">
        <v>331</v>
      </c>
    </row>
    <row r="13" customFormat="false" ht="15" hidden="false" customHeight="true" outlineLevel="0" collapsed="false">
      <c r="A13" s="21" t="n">
        <v>1781</v>
      </c>
      <c r="B13" s="21" t="s">
        <v>339</v>
      </c>
      <c r="C13" s="81" t="n">
        <v>1.624</v>
      </c>
      <c r="D13" s="82" t="n">
        <f aca="false">C13/$C$17</f>
        <v>1.21739130434783</v>
      </c>
      <c r="E13" s="83" t="n">
        <f aca="false">C13-'Coût par feuille'!$H$15</f>
        <v>0.951807692307693</v>
      </c>
      <c r="F13" s="84" t="n">
        <f aca="false">E13/C13</f>
        <v>0.586088480485032</v>
      </c>
      <c r="G13" s="21" t="str">
        <f aca="false">IF(F13&lt;0,"Inviable — marge négative",IF(F13&lt;0.15,"Dégradation forte requise",IF(F13&lt;0.35,"Dégradation partielle","Qualité soutenue — polychromie / métaux possibles")))</f>
        <v>Qualité soutenue — polychromie / métaux possibles</v>
      </c>
      <c r="H13" s="85" t="s">
        <v>331</v>
      </c>
    </row>
    <row r="14" customFormat="false" ht="15" hidden="false" customHeight="true" outlineLevel="0" collapsed="false">
      <c r="A14" s="21" t="n">
        <v>1785</v>
      </c>
      <c r="B14" s="21" t="s">
        <v>340</v>
      </c>
      <c r="C14" s="81" t="n">
        <v>2</v>
      </c>
      <c r="D14" s="82" t="n">
        <f aca="false">C14/$C$17</f>
        <v>1.49925037481259</v>
      </c>
      <c r="E14" s="83" t="n">
        <f aca="false">C14-'Coût par feuille'!$H$15</f>
        <v>1.32780769230769</v>
      </c>
      <c r="F14" s="84" t="n">
        <f aca="false">E14/C14</f>
        <v>0.663903846153846</v>
      </c>
      <c r="G14" s="21" t="str">
        <f aca="false">IF(F14&lt;0,"Inviable — marge négative",IF(F14&lt;0.15,"Dégradation forte requise",IF(F14&lt;0.35,"Dégradation partielle","Qualité soutenue — polychromie / métaux possibles")))</f>
        <v>Qualité soutenue — polychromie / métaux possibles</v>
      </c>
      <c r="H14" s="85" t="s">
        <v>331</v>
      </c>
    </row>
    <row r="15" customFormat="false" ht="15" hidden="false" customHeight="true" outlineLevel="0" collapsed="false">
      <c r="A15" s="21" t="n">
        <v>1786</v>
      </c>
      <c r="B15" s="21" t="s">
        <v>341</v>
      </c>
      <c r="C15" s="81" t="n">
        <v>1.93</v>
      </c>
      <c r="D15" s="82" t="n">
        <f aca="false">C15/$C$17</f>
        <v>1.44677661169415</v>
      </c>
      <c r="E15" s="83" t="n">
        <f aca="false">C15-'Coût par feuille'!$H$15</f>
        <v>1.25780769230769</v>
      </c>
      <c r="F15" s="84" t="n">
        <f aca="false">E15/C15</f>
        <v>0.65171383021124</v>
      </c>
      <c r="G15" s="21" t="str">
        <f aca="false">IF(F15&lt;0,"Inviable — marge négative",IF(F15&lt;0.15,"Dégradation forte requise",IF(F15&lt;0.35,"Dégradation partielle","Qualité soutenue — polychromie / métaux possibles")))</f>
        <v>Qualité soutenue — polychromie / métaux possibles</v>
      </c>
      <c r="H15" s="85" t="s">
        <v>331</v>
      </c>
    </row>
    <row r="16" customFormat="false" ht="15" hidden="false" customHeight="true" outlineLevel="0" collapsed="false">
      <c r="A16" s="21" t="n">
        <v>1787</v>
      </c>
      <c r="B16" s="21" t="s">
        <v>341</v>
      </c>
      <c r="C16" s="81" t="n">
        <v>1.8</v>
      </c>
      <c r="D16" s="82" t="n">
        <f aca="false">C16/$C$17</f>
        <v>1.34932533733133</v>
      </c>
      <c r="E16" s="83" t="n">
        <f aca="false">C16-'Coût par feuille'!$H$15</f>
        <v>1.12780769230769</v>
      </c>
      <c r="F16" s="84" t="n">
        <f aca="false">E16/C16</f>
        <v>0.626559829059829</v>
      </c>
      <c r="G16" s="21" t="str">
        <f aca="false">IF(F16&lt;0,"Inviable — marge négative",IF(F16&lt;0.15,"Dégradation forte requise",IF(F16&lt;0.35,"Dégradation partielle","Qualité soutenue — polychromie / métaux possibles")))</f>
        <v>Qualité soutenue — polychromie / métaux possibles</v>
      </c>
      <c r="H16" s="85" t="s">
        <v>331</v>
      </c>
    </row>
    <row r="17" customFormat="false" ht="15" hidden="false" customHeight="true" outlineLevel="0" collapsed="false">
      <c r="B17" s="86" t="s">
        <v>342</v>
      </c>
      <c r="C17" s="87" t="n">
        <f aca="false">MEDIAN(C6:C16)</f>
        <v>1.334</v>
      </c>
    </row>
    <row r="19" customFormat="false" ht="15" hidden="false" customHeight="true" outlineLevel="0" collapsed="false">
      <c r="A19" s="79" t="s">
        <v>343</v>
      </c>
      <c r="B19" s="79"/>
      <c r="C19" s="79"/>
      <c r="D19" s="79"/>
      <c r="E19" s="79"/>
      <c r="F19" s="79"/>
      <c r="G19" s="79"/>
      <c r="H19" s="79"/>
    </row>
    <row r="20" customFormat="false" ht="15" hidden="false" customHeight="true" outlineLevel="0" collapsed="false">
      <c r="A20" s="80" t="s">
        <v>325</v>
      </c>
      <c r="B20" s="80" t="s">
        <v>344</v>
      </c>
      <c r="C20" s="80" t="s">
        <v>328</v>
      </c>
      <c r="D20" s="80" t="s">
        <v>345</v>
      </c>
      <c r="E20" s="80" t="s">
        <v>346</v>
      </c>
      <c r="F20" s="80" t="s">
        <v>347</v>
      </c>
      <c r="G20" s="80" t="s">
        <v>348</v>
      </c>
      <c r="H20" s="80"/>
    </row>
    <row r="21" customFormat="false" ht="15" hidden="false" customHeight="true" outlineLevel="0" collapsed="false">
      <c r="A21" s="88" t="n">
        <v>0.4</v>
      </c>
      <c r="B21" s="83" t="n">
        <f aca="false">A21-'Coût par feuille'!$H$15</f>
        <v>-0.272192307692308</v>
      </c>
      <c r="C21" s="84" t="n">
        <f aca="false">B21/A21</f>
        <v>-0.680480769230769</v>
      </c>
      <c r="D21" s="21" t="str">
        <f aca="false">IF(C21&lt;0,"Inviable",IF(C21&lt;0.15,"Dégradation forte",IF(C21&lt;0.35,"Dégradation partielle","Qualité soutenue")))</f>
        <v>Inviable</v>
      </c>
      <c r="E21" s="21" t="str">
        <f aca="false">IF(C21&lt;0.15,"≤ 4 teintes [C]","courante (6–8 teintes)")</f>
        <v>≤ 4 teintes [C]</v>
      </c>
      <c r="F21" s="21" t="str">
        <f aca="false">IF(C21&lt;0.15,"élargis [C]","peints denses")</f>
        <v>élargis [C]</v>
      </c>
      <c r="G21" s="21" t="str">
        <f aca="false">IF(C21&gt;=0.35,"or / argent possibles [B]","exclus [C]")</f>
        <v>exclus [C]</v>
      </c>
    </row>
    <row r="22" customFormat="false" ht="15" hidden="false" customHeight="true" outlineLevel="0" collapsed="false">
      <c r="A22" s="88" t="n">
        <v>0.6</v>
      </c>
      <c r="B22" s="83" t="n">
        <f aca="false">A22-'Coût par feuille'!$H$15</f>
        <v>-0.0721923076923077</v>
      </c>
      <c r="C22" s="84" t="n">
        <f aca="false">B22/A22</f>
        <v>-0.120320512820513</v>
      </c>
      <c r="D22" s="21" t="str">
        <f aca="false">IF(C22&lt;0,"Inviable",IF(C22&lt;0.15,"Dégradation forte",IF(C22&lt;0.35,"Dégradation partielle","Qualité soutenue")))</f>
        <v>Inviable</v>
      </c>
      <c r="E22" s="21" t="str">
        <f aca="false">IF(C22&lt;0.15,"≤ 4 teintes [C]","courante (6–8 teintes)")</f>
        <v>≤ 4 teintes [C]</v>
      </c>
      <c r="F22" s="21" t="str">
        <f aca="false">IF(C22&lt;0.15,"élargis [C]","peints denses")</f>
        <v>élargis [C]</v>
      </c>
      <c r="G22" s="21" t="str">
        <f aca="false">IF(C22&gt;=0.35,"or / argent possibles [B]","exclus [C]")</f>
        <v>exclus [C]</v>
      </c>
    </row>
    <row r="23" customFormat="false" ht="15" hidden="false" customHeight="true" outlineLevel="0" collapsed="false">
      <c r="A23" s="88" t="n">
        <v>0.8</v>
      </c>
      <c r="B23" s="83" t="n">
        <f aca="false">A23-'Coût par feuille'!$H$15</f>
        <v>0.127807692307692</v>
      </c>
      <c r="C23" s="84" t="n">
        <f aca="false">B23/A23</f>
        <v>0.159759615384616</v>
      </c>
      <c r="D23" s="21" t="str">
        <f aca="false">IF(C23&lt;0,"Inviable",IF(C23&lt;0.15,"Dégradation forte",IF(C23&lt;0.35,"Dégradation partielle","Qualité soutenue")))</f>
        <v>Dégradation partielle</v>
      </c>
      <c r="E23" s="21" t="str">
        <f aca="false">IF(C23&lt;0.15,"≤ 4 teintes [C]","courante (6–8 teintes)")</f>
        <v>courante (6–8 teintes)</v>
      </c>
      <c r="F23" s="21" t="str">
        <f aca="false">IF(C23&lt;0.15,"élargis [C]","peints denses")</f>
        <v>peints denses</v>
      </c>
      <c r="G23" s="21" t="str">
        <f aca="false">IF(C23&gt;=0.35,"or / argent possibles [B]","exclus [C]")</f>
        <v>exclus [C]</v>
      </c>
    </row>
    <row r="24" customFormat="false" ht="15" hidden="false" customHeight="true" outlineLevel="0" collapsed="false">
      <c r="A24" s="88" t="n">
        <v>1</v>
      </c>
      <c r="B24" s="83" t="n">
        <f aca="false">A24-'Coût par feuille'!$H$15</f>
        <v>0.327807692307692</v>
      </c>
      <c r="C24" s="84" t="n">
        <f aca="false">B24/A24</f>
        <v>0.327807692307692</v>
      </c>
      <c r="D24" s="21" t="str">
        <f aca="false">IF(C24&lt;0,"Inviable",IF(C24&lt;0.15,"Dégradation forte",IF(C24&lt;0.35,"Dégradation partielle","Qualité soutenue")))</f>
        <v>Dégradation partielle</v>
      </c>
      <c r="E24" s="21" t="str">
        <f aca="false">IF(C24&lt;0.15,"≤ 4 teintes [C]","courante (6–8 teintes)")</f>
        <v>courante (6–8 teintes)</v>
      </c>
      <c r="F24" s="21" t="str">
        <f aca="false">IF(C24&lt;0.15,"élargis [C]","peints denses")</f>
        <v>peints denses</v>
      </c>
      <c r="G24" s="21" t="str">
        <f aca="false">IF(C24&gt;=0.35,"or / argent possibles [B]","exclus [C]")</f>
        <v>exclus [C]</v>
      </c>
    </row>
    <row r="25" customFormat="false" ht="15" hidden="false" customHeight="true" outlineLevel="0" collapsed="false">
      <c r="A25" s="88" t="n">
        <v>1.2</v>
      </c>
      <c r="B25" s="83" t="n">
        <f aca="false">A25-'Coût par feuille'!$H$15</f>
        <v>0.527807692307692</v>
      </c>
      <c r="C25" s="84" t="n">
        <f aca="false">B25/A25</f>
        <v>0.439839743589744</v>
      </c>
      <c r="D25" s="21" t="str">
        <f aca="false">IF(C25&lt;0,"Inviable",IF(C25&lt;0.15,"Dégradation forte",IF(C25&lt;0.35,"Dégradation partielle","Qualité soutenue")))</f>
        <v>Qualité soutenue</v>
      </c>
      <c r="E25" s="21" t="str">
        <f aca="false">IF(C25&lt;0.15,"≤ 4 teintes [C]","courante (6–8 teintes)")</f>
        <v>courante (6–8 teintes)</v>
      </c>
      <c r="F25" s="21" t="str">
        <f aca="false">IF(C25&lt;0.15,"élargis [C]","peints denses")</f>
        <v>peints denses</v>
      </c>
      <c r="G25" s="21" t="str">
        <f aca="false">IF(C25&gt;=0.35,"or / argent possibles [B]","exclus [C]")</f>
        <v>or / argent possibles [B]</v>
      </c>
    </row>
    <row r="26" customFormat="false" ht="15" hidden="false" customHeight="true" outlineLevel="0" collapsed="false">
      <c r="A26" s="88" t="n">
        <v>1.4</v>
      </c>
      <c r="B26" s="83" t="n">
        <f aca="false">A26-'Coût par feuille'!$H$15</f>
        <v>0.727807692307692</v>
      </c>
      <c r="C26" s="84" t="n">
        <f aca="false">B26/A26</f>
        <v>0.519862637362637</v>
      </c>
      <c r="D26" s="21" t="str">
        <f aca="false">IF(C26&lt;0,"Inviable",IF(C26&lt;0.15,"Dégradation forte",IF(C26&lt;0.35,"Dégradation partielle","Qualité soutenue")))</f>
        <v>Qualité soutenue</v>
      </c>
      <c r="E26" s="21" t="str">
        <f aca="false">IF(C26&lt;0.15,"≤ 4 teintes [C]","courante (6–8 teintes)")</f>
        <v>courante (6–8 teintes)</v>
      </c>
      <c r="F26" s="21" t="str">
        <f aca="false">IF(C26&lt;0.15,"élargis [C]","peints denses")</f>
        <v>peints denses</v>
      </c>
      <c r="G26" s="21" t="str">
        <f aca="false">IF(C26&gt;=0.35,"or / argent possibles [B]","exclus [C]")</f>
        <v>or / argent possibles [B]</v>
      </c>
    </row>
    <row r="27" customFormat="false" ht="15" hidden="false" customHeight="true" outlineLevel="0" collapsed="false">
      <c r="A27" s="88" t="n">
        <v>1.6</v>
      </c>
      <c r="B27" s="83" t="n">
        <f aca="false">A27-'Coût par feuille'!$H$15</f>
        <v>0.927807692307692</v>
      </c>
      <c r="C27" s="84" t="n">
        <f aca="false">B27/A27</f>
        <v>0.579879807692308</v>
      </c>
      <c r="D27" s="21" t="str">
        <f aca="false">IF(C27&lt;0,"Inviable",IF(C27&lt;0.15,"Dégradation forte",IF(C27&lt;0.35,"Dégradation partielle","Qualité soutenue")))</f>
        <v>Qualité soutenue</v>
      </c>
      <c r="E27" s="21" t="str">
        <f aca="false">IF(C27&lt;0.15,"≤ 4 teintes [C]","courante (6–8 teintes)")</f>
        <v>courante (6–8 teintes)</v>
      </c>
      <c r="F27" s="21" t="str">
        <f aca="false">IF(C27&lt;0.15,"élargis [C]","peints denses")</f>
        <v>peints denses</v>
      </c>
      <c r="G27" s="21" t="str">
        <f aca="false">IF(C27&gt;=0.35,"or / argent possibles [B]","exclus [C]")</f>
        <v>or / argent possibles [B]</v>
      </c>
    </row>
    <row r="28" customFormat="false" ht="15" hidden="false" customHeight="true" outlineLevel="0" collapsed="false">
      <c r="A28" s="88" t="n">
        <v>1.8</v>
      </c>
      <c r="B28" s="83" t="n">
        <f aca="false">A28-'Coût par feuille'!$H$15</f>
        <v>1.12780769230769</v>
      </c>
      <c r="C28" s="84" t="n">
        <f aca="false">B28/A28</f>
        <v>0.626559829059829</v>
      </c>
      <c r="D28" s="21" t="str">
        <f aca="false">IF(C28&lt;0,"Inviable",IF(C28&lt;0.15,"Dégradation forte",IF(C28&lt;0.35,"Dégradation partielle","Qualité soutenue")))</f>
        <v>Qualité soutenue</v>
      </c>
      <c r="E28" s="21" t="str">
        <f aca="false">IF(C28&lt;0.15,"≤ 4 teintes [C]","courante (6–8 teintes)")</f>
        <v>courante (6–8 teintes)</v>
      </c>
      <c r="F28" s="21" t="str">
        <f aca="false">IF(C28&lt;0.15,"élargis [C]","peints denses")</f>
        <v>peints denses</v>
      </c>
      <c r="G28" s="21" t="str">
        <f aca="false">IF(C28&gt;=0.35,"or / argent possibles [B]","exclus [C]")</f>
        <v>or / argent possibles [B]</v>
      </c>
    </row>
    <row r="29" customFormat="false" ht="15" hidden="false" customHeight="true" outlineLevel="0" collapsed="false">
      <c r="A29" s="88" t="n">
        <v>2</v>
      </c>
      <c r="B29" s="83" t="n">
        <f aca="false">A29-'Coût par feuille'!$H$15</f>
        <v>1.32780769230769</v>
      </c>
      <c r="C29" s="84" t="n">
        <f aca="false">B29/A29</f>
        <v>0.663903846153846</v>
      </c>
      <c r="D29" s="21" t="str">
        <f aca="false">IF(C29&lt;0,"Inviable",IF(C29&lt;0.15,"Dégradation forte",IF(C29&lt;0.35,"Dégradation partielle","Qualité soutenue")))</f>
        <v>Qualité soutenue</v>
      </c>
      <c r="E29" s="21" t="str">
        <f aca="false">IF(C29&lt;0.15,"≤ 4 teintes [C]","courante (6–8 teintes)")</f>
        <v>courante (6–8 teintes)</v>
      </c>
      <c r="F29" s="21" t="str">
        <f aca="false">IF(C29&lt;0.15,"élargis [C]","peints denses")</f>
        <v>peints denses</v>
      </c>
      <c r="G29" s="21" t="str">
        <f aca="false">IF(C29&gt;=0.35,"or / argent possibles [B]","exclus [C]")</f>
        <v>or / argent possibles [B]</v>
      </c>
    </row>
    <row r="30" customFormat="false" ht="15" hidden="false" customHeight="true" outlineLevel="0" collapsed="false">
      <c r="A30" s="88" t="n">
        <v>2.2</v>
      </c>
      <c r="B30" s="83" t="n">
        <f aca="false">A30-'Coût par feuille'!$H$15</f>
        <v>1.52780769230769</v>
      </c>
      <c r="C30" s="84" t="n">
        <f aca="false">B30/A30</f>
        <v>0.694458041958042</v>
      </c>
      <c r="D30" s="21" t="str">
        <f aca="false">IF(C30&lt;0,"Inviable",IF(C30&lt;0.15,"Dégradation forte",IF(C30&lt;0.35,"Dégradation partielle","Qualité soutenue")))</f>
        <v>Qualité soutenue</v>
      </c>
      <c r="E30" s="21" t="str">
        <f aca="false">IF(C30&lt;0.15,"≤ 4 teintes [C]","courante (6–8 teintes)")</f>
        <v>courante (6–8 teintes)</v>
      </c>
      <c r="F30" s="21" t="str">
        <f aca="false">IF(C30&lt;0.15,"élargis [C]","peints denses")</f>
        <v>peints denses</v>
      </c>
      <c r="G30" s="21" t="str">
        <f aca="false">IF(C30&gt;=0.35,"or / argent possibles [B]","exclus [C]")</f>
        <v>or / argent possibles [B]</v>
      </c>
    </row>
    <row r="31" customFormat="false" ht="15" hidden="false" customHeight="true" outlineLevel="0" collapsed="false">
      <c r="A31" s="88" t="n">
        <v>2.4</v>
      </c>
      <c r="B31" s="83" t="n">
        <f aca="false">A31-'Coût par feuille'!$H$15</f>
        <v>1.72780769230769</v>
      </c>
      <c r="C31" s="84" t="n">
        <f aca="false">B31/A31</f>
        <v>0.719919871794872</v>
      </c>
      <c r="D31" s="21" t="str">
        <f aca="false">IF(C31&lt;0,"Inviable",IF(C31&lt;0.15,"Dégradation forte",IF(C31&lt;0.35,"Dégradation partielle","Qualité soutenue")))</f>
        <v>Qualité soutenue</v>
      </c>
      <c r="E31" s="21" t="str">
        <f aca="false">IF(C31&lt;0.15,"≤ 4 teintes [C]","courante (6–8 teintes)")</f>
        <v>courante (6–8 teintes)</v>
      </c>
      <c r="F31" s="21" t="str">
        <f aca="false">IF(C31&lt;0.15,"élargis [C]","peints denses")</f>
        <v>peints denses</v>
      </c>
      <c r="G31" s="21" t="str">
        <f aca="false">IF(C31&gt;=0.35,"or / argent possibles [B]","exclus [C]")</f>
        <v>or / argent possibles [B]</v>
      </c>
    </row>
    <row r="32" customFormat="false" ht="15" hidden="false" customHeight="true" outlineLevel="0" collapsed="false">
      <c r="A32" s="88" t="n">
        <v>2.6</v>
      </c>
      <c r="B32" s="83" t="n">
        <f aca="false">A32-'Coût par feuille'!$H$15</f>
        <v>1.92780769230769</v>
      </c>
      <c r="C32" s="84" t="n">
        <f aca="false">B32/A32</f>
        <v>0.74146449704142</v>
      </c>
      <c r="D32" s="21" t="str">
        <f aca="false">IF(C32&lt;0,"Inviable",IF(C32&lt;0.15,"Dégradation forte",IF(C32&lt;0.35,"Dégradation partielle","Qualité soutenue")))</f>
        <v>Qualité soutenue</v>
      </c>
      <c r="E32" s="21" t="str">
        <f aca="false">IF(C32&lt;0.15,"≤ 4 teintes [C]","courante (6–8 teintes)")</f>
        <v>courante (6–8 teintes)</v>
      </c>
      <c r="F32" s="21" t="str">
        <f aca="false">IF(C32&lt;0.15,"élargis [C]","peints denses")</f>
        <v>peints denses</v>
      </c>
      <c r="G32" s="21" t="str">
        <f aca="false">IF(C32&gt;=0.35,"or / argent possibles [B]","exclus [C]")</f>
        <v>or / argent possibles [B]</v>
      </c>
    </row>
    <row r="34" customFormat="false" ht="15" hidden="false" customHeight="true" outlineLevel="0" collapsed="false">
      <c r="A34" s="79" t="s">
        <v>349</v>
      </c>
      <c r="B34" s="79"/>
      <c r="C34" s="79"/>
      <c r="D34" s="79"/>
      <c r="E34" s="79"/>
      <c r="F34" s="79"/>
      <c r="G34" s="79"/>
      <c r="H34" s="79"/>
    </row>
    <row r="35" customFormat="false" ht="15" hidden="false" customHeight="true" outlineLevel="0" collapsed="false">
      <c r="A35" s="89" t="s">
        <v>350</v>
      </c>
      <c r="B35" s="89" t="s">
        <v>351</v>
      </c>
      <c r="C35" s="89" t="s">
        <v>352</v>
      </c>
    </row>
    <row r="36" customFormat="false" ht="15" hidden="false" customHeight="true" outlineLevel="0" collapsed="false">
      <c r="A36" s="90" t="s">
        <v>353</v>
      </c>
      <c r="B36" s="90" t="s">
        <v>354</v>
      </c>
      <c r="C36" s="90" t="s">
        <v>355</v>
      </c>
      <c r="D36" s="1" t="s">
        <v>356</v>
      </c>
    </row>
    <row r="37" customFormat="false" ht="15" hidden="false" customHeight="true" outlineLevel="0" collapsed="false">
      <c r="A37" s="90" t="s">
        <v>357</v>
      </c>
      <c r="B37" s="90" t="s">
        <v>358</v>
      </c>
      <c r="C37" s="90" t="s">
        <v>359</v>
      </c>
      <c r="D37" s="1" t="s">
        <v>356</v>
      </c>
    </row>
    <row r="38" customFormat="false" ht="15" hidden="false" customHeight="true" outlineLevel="0" collapsed="false">
      <c r="A38" s="90" t="s">
        <v>360</v>
      </c>
      <c r="B38" s="90" t="s">
        <v>361</v>
      </c>
      <c r="C38" s="90" t="s">
        <v>362</v>
      </c>
      <c r="D38" s="1" t="s">
        <v>356</v>
      </c>
    </row>
    <row r="40" customFormat="false" ht="15" hidden="false" customHeight="true" outlineLevel="0" collapsed="false">
      <c r="A40" s="91" t="s">
        <v>363</v>
      </c>
      <c r="B40" s="91"/>
      <c r="C40" s="91"/>
      <c r="D40" s="91"/>
      <c r="E40" s="91"/>
      <c r="F40" s="91"/>
      <c r="G40" s="91"/>
      <c r="H40" s="91"/>
    </row>
    <row r="41" customFormat="false" ht="15" hidden="false" customHeight="true" outlineLevel="0" collapsed="false">
      <c r="A41" s="91"/>
      <c r="B41" s="91"/>
      <c r="C41" s="91"/>
      <c r="D41" s="91"/>
      <c r="E41" s="91"/>
      <c r="F41" s="91"/>
      <c r="G41" s="91"/>
      <c r="H41" s="91"/>
    </row>
  </sheetData>
  <mergeCells count="4">
    <mergeCell ref="A4:H4"/>
    <mergeCell ref="A19:H19"/>
    <mergeCell ref="A34:H34"/>
    <mergeCell ref="A40:H4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6"/>
    <col collapsed="false" customWidth="true" hidden="false" outlineLevel="0" max="2" min="2" style="0" width="17"/>
    <col collapsed="false" customWidth="true" hidden="false" outlineLevel="0" max="3" min="3" style="0" width="19"/>
    <col collapsed="false" customWidth="true" hidden="false" outlineLevel="0" max="4" min="4" style="0" width="21"/>
    <col collapsed="false" customWidth="true" hidden="false" outlineLevel="0" max="5" min="5" style="0" width="9"/>
    <col collapsed="false" customWidth="true" hidden="false" outlineLevel="0" max="6" min="6" style="0" width="62"/>
  </cols>
  <sheetData>
    <row r="1" customFormat="false" ht="15" hidden="false" customHeight="false" outlineLevel="0" collapsed="false">
      <c r="A1" s="92" t="s">
        <v>364</v>
      </c>
    </row>
    <row r="2" customFormat="false" ht="27.75" hidden="false" customHeight="true" outlineLevel="0" collapsed="false">
      <c r="A2" s="93" t="s">
        <v>365</v>
      </c>
    </row>
    <row r="4" customFormat="false" ht="15" hidden="false" customHeight="false" outlineLevel="0" collapsed="false">
      <c r="A4" s="94" t="s">
        <v>366</v>
      </c>
      <c r="B4" s="95"/>
      <c r="C4" s="95"/>
      <c r="D4" s="95"/>
      <c r="E4" s="95"/>
      <c r="F4" s="95"/>
    </row>
    <row r="5" customFormat="false" ht="15" hidden="false" customHeight="false" outlineLevel="0" collapsed="false">
      <c r="A5" s="96" t="s">
        <v>367</v>
      </c>
      <c r="B5" s="96" t="s">
        <v>368</v>
      </c>
      <c r="C5" s="96" t="s">
        <v>369</v>
      </c>
      <c r="D5" s="96"/>
      <c r="E5" s="96" t="s">
        <v>124</v>
      </c>
      <c r="F5" s="96" t="s">
        <v>54</v>
      </c>
    </row>
    <row r="6" customFormat="false" ht="15" hidden="false" customHeight="false" outlineLevel="0" collapsed="false">
      <c r="A6" s="97" t="s">
        <v>370</v>
      </c>
      <c r="B6" s="22" t="s">
        <v>371</v>
      </c>
      <c r="C6" s="22" t="s">
        <v>372</v>
      </c>
      <c r="E6" s="98" t="s">
        <v>128</v>
      </c>
      <c r="F6" s="99" t="s">
        <v>373</v>
      </c>
    </row>
    <row r="7" customFormat="false" ht="15" hidden="false" customHeight="false" outlineLevel="0" collapsed="false">
      <c r="A7" s="97" t="s">
        <v>370</v>
      </c>
      <c r="B7" s="22" t="s">
        <v>374</v>
      </c>
      <c r="C7" s="22" t="s">
        <v>152</v>
      </c>
      <c r="E7" s="98" t="s">
        <v>128</v>
      </c>
      <c r="F7" s="99" t="s">
        <v>375</v>
      </c>
    </row>
    <row r="8" customFormat="false" ht="15" hidden="false" customHeight="false" outlineLevel="0" collapsed="false">
      <c r="A8" s="97" t="s">
        <v>370</v>
      </c>
      <c r="B8" s="22" t="s">
        <v>376</v>
      </c>
      <c r="C8" s="22" t="s">
        <v>377</v>
      </c>
      <c r="E8" s="98" t="s">
        <v>128</v>
      </c>
      <c r="F8" s="99" t="s">
        <v>375</v>
      </c>
    </row>
    <row r="9" customFormat="false" ht="15" hidden="false" customHeight="false" outlineLevel="0" collapsed="false">
      <c r="A9" s="97" t="s">
        <v>378</v>
      </c>
      <c r="B9" s="22" t="s">
        <v>379</v>
      </c>
      <c r="C9" s="22" t="s">
        <v>380</v>
      </c>
      <c r="E9" s="98" t="s">
        <v>128</v>
      </c>
      <c r="F9" s="99" t="s">
        <v>375</v>
      </c>
    </row>
    <row r="10" customFormat="false" ht="15" hidden="false" customHeight="false" outlineLevel="0" collapsed="false">
      <c r="A10" s="97" t="s">
        <v>378</v>
      </c>
      <c r="B10" s="22" t="s">
        <v>381</v>
      </c>
      <c r="C10" s="22" t="s">
        <v>382</v>
      </c>
      <c r="E10" s="98" t="s">
        <v>128</v>
      </c>
      <c r="F10" s="99" t="s">
        <v>375</v>
      </c>
    </row>
    <row r="11" customFormat="false" ht="15" hidden="false" customHeight="false" outlineLevel="0" collapsed="false">
      <c r="A11" s="97" t="s">
        <v>383</v>
      </c>
      <c r="B11" s="22" t="s">
        <v>384</v>
      </c>
      <c r="C11" s="22" t="s">
        <v>385</v>
      </c>
      <c r="E11" s="98" t="s">
        <v>386</v>
      </c>
      <c r="F11" s="99" t="s">
        <v>387</v>
      </c>
    </row>
    <row r="12" customFormat="false" ht="15" hidden="false" customHeight="false" outlineLevel="0" collapsed="false">
      <c r="A12" s="97" t="s">
        <v>388</v>
      </c>
      <c r="B12" s="22" t="s">
        <v>389</v>
      </c>
      <c r="C12" s="22" t="s">
        <v>390</v>
      </c>
      <c r="E12" s="98" t="s">
        <v>128</v>
      </c>
      <c r="F12" s="99" t="s">
        <v>391</v>
      </c>
    </row>
    <row r="13" customFormat="false" ht="15" hidden="false" customHeight="false" outlineLevel="0" collapsed="false">
      <c r="A13" s="97" t="s">
        <v>388</v>
      </c>
      <c r="B13" s="22" t="s">
        <v>392</v>
      </c>
      <c r="C13" s="22" t="s">
        <v>393</v>
      </c>
      <c r="E13" s="98" t="s">
        <v>128</v>
      </c>
      <c r="F13" s="99" t="s">
        <v>375</v>
      </c>
    </row>
    <row r="14" customFormat="false" ht="15" hidden="false" customHeight="false" outlineLevel="0" collapsed="false">
      <c r="A14" s="97" t="s">
        <v>388</v>
      </c>
      <c r="B14" s="22" t="s">
        <v>394</v>
      </c>
      <c r="C14" s="22" t="s">
        <v>395</v>
      </c>
      <c r="E14" s="98" t="s">
        <v>128</v>
      </c>
      <c r="F14" s="99" t="s">
        <v>375</v>
      </c>
    </row>
    <row r="15" customFormat="false" ht="15" hidden="false" customHeight="false" outlineLevel="0" collapsed="false">
      <c r="A15" s="97" t="s">
        <v>396</v>
      </c>
      <c r="B15" s="22" t="s">
        <v>397</v>
      </c>
      <c r="C15" s="22" t="s">
        <v>398</v>
      </c>
      <c r="E15" s="98" t="s">
        <v>128</v>
      </c>
      <c r="F15" s="99" t="s">
        <v>375</v>
      </c>
    </row>
    <row r="18" customFormat="false" ht="15" hidden="false" customHeight="false" outlineLevel="0" collapsed="false">
      <c r="A18" s="94" t="s">
        <v>399</v>
      </c>
      <c r="B18" s="95"/>
      <c r="C18" s="95"/>
      <c r="D18" s="95"/>
      <c r="E18" s="95"/>
      <c r="F18" s="95"/>
    </row>
    <row r="19" customFormat="false" ht="15" hidden="false" customHeight="false" outlineLevel="0" collapsed="false">
      <c r="A19" s="96" t="s">
        <v>400</v>
      </c>
      <c r="B19" s="96" t="s">
        <v>378</v>
      </c>
      <c r="C19" s="96" t="s">
        <v>401</v>
      </c>
      <c r="D19" s="96" t="s">
        <v>402</v>
      </c>
      <c r="E19" s="96" t="s">
        <v>124</v>
      </c>
      <c r="F19" s="96" t="s">
        <v>157</v>
      </c>
    </row>
    <row r="20" customFormat="false" ht="15" hidden="false" customHeight="false" outlineLevel="0" collapsed="false">
      <c r="A20" s="22" t="s">
        <v>403</v>
      </c>
      <c r="B20" s="100" t="n">
        <v>1.334</v>
      </c>
      <c r="C20" s="100" t="n">
        <v>1.334</v>
      </c>
      <c r="D20" s="100" t="n">
        <v>1.334</v>
      </c>
      <c r="E20" s="98" t="s">
        <v>128</v>
      </c>
      <c r="F20" s="99" t="s">
        <v>404</v>
      </c>
    </row>
    <row r="21" customFormat="false" ht="15" hidden="false" customHeight="false" outlineLevel="0" collapsed="false">
      <c r="A21" s="22" t="s">
        <v>405</v>
      </c>
      <c r="B21" s="101" t="n">
        <f aca="false">B20*Paramètres!$D$25</f>
        <v>0.4172085</v>
      </c>
      <c r="C21" s="101" t="n">
        <f aca="false">C20*Paramètres!$D$25</f>
        <v>0.4172085</v>
      </c>
      <c r="D21" s="101" t="n">
        <f aca="false">D20*Paramètres!$D$25</f>
        <v>0.4172085</v>
      </c>
      <c r="E21" s="98" t="s">
        <v>146</v>
      </c>
      <c r="F21" s="99" t="s">
        <v>406</v>
      </c>
    </row>
    <row r="22" customFormat="false" ht="15" hidden="false" customHeight="false" outlineLevel="0" collapsed="false">
      <c r="A22" s="22" t="s">
        <v>407</v>
      </c>
      <c r="B22" s="102" t="n">
        <v>0.15</v>
      </c>
      <c r="C22" s="102" t="n">
        <v>0.15</v>
      </c>
      <c r="D22" s="102" t="n">
        <v>0.15</v>
      </c>
      <c r="E22" s="98" t="s">
        <v>161</v>
      </c>
      <c r="F22" s="99" t="s">
        <v>408</v>
      </c>
    </row>
    <row r="23" customFormat="false" ht="15" hidden="false" customHeight="false" outlineLevel="0" collapsed="false">
      <c r="A23" s="22" t="s">
        <v>409</v>
      </c>
      <c r="B23" s="101" t="n">
        <f aca="false">B21*(1+B22)</f>
        <v>0.479789775</v>
      </c>
      <c r="C23" s="101" t="n">
        <f aca="false">C21*(1+C22)</f>
        <v>0.479789775</v>
      </c>
      <c r="D23" s="101" t="n">
        <f aca="false">D21*(1+D22)</f>
        <v>0.479789775</v>
      </c>
      <c r="E23" s="98" t="s">
        <v>410</v>
      </c>
      <c r="F23" s="99" t="s">
        <v>411</v>
      </c>
    </row>
    <row r="24" customFormat="false" ht="15" hidden="false" customHeight="false" outlineLevel="0" collapsed="false">
      <c r="A24" s="22" t="s">
        <v>412</v>
      </c>
      <c r="B24" s="102" t="n">
        <v>0.15</v>
      </c>
      <c r="C24" s="102" t="n">
        <v>0.1</v>
      </c>
      <c r="D24" s="102" t="n">
        <v>0.1</v>
      </c>
      <c r="E24" s="98" t="s">
        <v>413</v>
      </c>
      <c r="F24" s="99" t="s">
        <v>414</v>
      </c>
    </row>
    <row r="25" customFormat="false" ht="15" hidden="false" customHeight="false" outlineLevel="0" collapsed="false">
      <c r="A25" s="22" t="s">
        <v>415</v>
      </c>
      <c r="B25" s="102" t="n">
        <v>0.4</v>
      </c>
      <c r="C25" s="102" t="n">
        <v>0.4</v>
      </c>
      <c r="D25" s="102" t="n">
        <v>0.4</v>
      </c>
      <c r="E25" s="98" t="s">
        <v>146</v>
      </c>
      <c r="F25" s="99" t="s">
        <v>416</v>
      </c>
    </row>
    <row r="26" customFormat="false" ht="15" hidden="false" customHeight="false" outlineLevel="0" collapsed="false">
      <c r="A26" s="22" t="s">
        <v>417</v>
      </c>
      <c r="B26" s="101" t="n">
        <f aca="false">B23*(1+B25)/(1-B24)</f>
        <v>0.790241982352941</v>
      </c>
      <c r="C26" s="101" t="n">
        <f aca="false">C23*(1+C25)/(1-C24)</f>
        <v>0.74633965</v>
      </c>
      <c r="D26" s="101" t="n">
        <f aca="false">D23*(1+D25)/(1-D24)</f>
        <v>0.74633965</v>
      </c>
      <c r="E26" s="98" t="s">
        <v>410</v>
      </c>
      <c r="F26" s="99" t="s">
        <v>418</v>
      </c>
    </row>
    <row r="27" customFormat="false" ht="15" hidden="false" customHeight="false" outlineLevel="0" collapsed="false">
      <c r="A27" s="22" t="s">
        <v>419</v>
      </c>
      <c r="B27" s="102" t="n">
        <v>0.5</v>
      </c>
      <c r="C27" s="102" t="n">
        <v>0.5</v>
      </c>
      <c r="D27" s="102" t="n">
        <v>0.5</v>
      </c>
      <c r="E27" s="98" t="s">
        <v>161</v>
      </c>
      <c r="F27" s="99" t="s">
        <v>420</v>
      </c>
    </row>
    <row r="28" customFormat="false" ht="15" hidden="false" customHeight="false" outlineLevel="0" collapsed="false">
      <c r="A28" s="103" t="s">
        <v>421</v>
      </c>
      <c r="B28" s="104" t="n">
        <f aca="false">B26*(1+B27)</f>
        <v>1.18536297352941</v>
      </c>
      <c r="C28" s="104" t="n">
        <f aca="false">C26*(1+C27)</f>
        <v>1.119509475</v>
      </c>
      <c r="D28" s="104" t="n">
        <f aca="false">D26*(1+D27)</f>
        <v>1.119509475</v>
      </c>
      <c r="E28" s="98" t="s">
        <v>410</v>
      </c>
      <c r="F28" s="99" t="s">
        <v>422</v>
      </c>
    </row>
    <row r="29" customFormat="false" ht="15" hidden="false" customHeight="false" outlineLevel="0" collapsed="false">
      <c r="A29" s="103" t="s">
        <v>423</v>
      </c>
      <c r="B29" s="105" t="n">
        <f aca="false">B28/B21</f>
        <v>2.84117647058823</v>
      </c>
      <c r="C29" s="105" t="n">
        <f aca="false">C28/C21</f>
        <v>2.68333333333333</v>
      </c>
      <c r="D29" s="105" t="n">
        <f aca="false">D28/D21</f>
        <v>2.68333333333333</v>
      </c>
      <c r="E29" s="98" t="s">
        <v>410</v>
      </c>
      <c r="F29" s="99" t="s">
        <v>424</v>
      </c>
    </row>
    <row r="32" customFormat="false" ht="15" hidden="false" customHeight="false" outlineLevel="0" collapsed="false">
      <c r="A32" s="94" t="s">
        <v>425</v>
      </c>
      <c r="B32" s="95"/>
      <c r="C32" s="95"/>
      <c r="D32" s="95"/>
      <c r="E32" s="95"/>
      <c r="F32" s="95"/>
    </row>
    <row r="33" customFormat="false" ht="15" hidden="false" customHeight="false" outlineLevel="0" collapsed="false">
      <c r="A33" s="96" t="s">
        <v>426</v>
      </c>
      <c r="B33" s="96" t="s">
        <v>369</v>
      </c>
      <c r="C33" s="96"/>
      <c r="D33" s="96"/>
      <c r="E33" s="96" t="s">
        <v>124</v>
      </c>
      <c r="F33" s="96" t="s">
        <v>427</v>
      </c>
    </row>
    <row r="34" customFormat="false" ht="15" hidden="false" customHeight="false" outlineLevel="0" collapsed="false">
      <c r="A34" s="22" t="s">
        <v>428</v>
      </c>
      <c r="B34" s="106" t="n">
        <v>2.1</v>
      </c>
      <c r="E34" s="98" t="s">
        <v>128</v>
      </c>
      <c r="F34" s="99" t="s">
        <v>429</v>
      </c>
    </row>
    <row r="35" customFormat="false" ht="15" hidden="false" customHeight="false" outlineLevel="0" collapsed="false">
      <c r="A35" s="22" t="s">
        <v>430</v>
      </c>
      <c r="B35" s="101" t="n">
        <f aca="false">B20*Paramètres!$D$25</f>
        <v>0.4172085</v>
      </c>
      <c r="E35" s="98" t="s">
        <v>146</v>
      </c>
      <c r="F35" s="99" t="s">
        <v>431</v>
      </c>
    </row>
    <row r="36" customFormat="false" ht="15" hidden="false" customHeight="false" outlineLevel="0" collapsed="false">
      <c r="A36" s="103" t="s">
        <v>432</v>
      </c>
      <c r="B36" s="105" t="n">
        <f aca="false">B34/B35</f>
        <v>5.0334544957737</v>
      </c>
      <c r="E36" s="98" t="s">
        <v>433</v>
      </c>
      <c r="F36" s="99" t="s">
        <v>434</v>
      </c>
    </row>
    <row r="37" customFormat="false" ht="15" hidden="false" customHeight="false" outlineLevel="0" collapsed="false">
      <c r="A37" s="22" t="s">
        <v>435</v>
      </c>
      <c r="B37" s="101" t="n">
        <f aca="false">B28</f>
        <v>1.18536297352941</v>
      </c>
      <c r="E37" s="98" t="s">
        <v>410</v>
      </c>
      <c r="F37" s="99" t="s">
        <v>436</v>
      </c>
    </row>
    <row r="38" customFormat="false" ht="15" hidden="false" customHeight="false" outlineLevel="0" collapsed="false">
      <c r="A38" s="22" t="s">
        <v>437</v>
      </c>
      <c r="B38" s="107" t="n">
        <f aca="false">B37/B34-1</f>
        <v>-0.435541441176471</v>
      </c>
      <c r="E38" s="98" t="s">
        <v>410</v>
      </c>
      <c r="F38" s="99" t="s">
        <v>438</v>
      </c>
    </row>
    <row r="39" customFormat="false" ht="15" hidden="false" customHeight="false" outlineLevel="0" collapsed="false">
      <c r="A39" s="99" t="s">
        <v>439</v>
      </c>
    </row>
    <row r="42" customFormat="false" ht="15" hidden="false" customHeight="false" outlineLevel="0" collapsed="false">
      <c r="A42" s="94" t="s">
        <v>440</v>
      </c>
      <c r="B42" s="95"/>
      <c r="C42" s="95"/>
      <c r="D42" s="95"/>
      <c r="E42" s="95"/>
      <c r="F42" s="95"/>
    </row>
    <row r="43" customFormat="false" ht="15" hidden="false" customHeight="false" outlineLevel="0" collapsed="false">
      <c r="A43" s="22" t="s">
        <v>441</v>
      </c>
      <c r="F43" s="98" t="s">
        <v>356</v>
      </c>
    </row>
    <row r="44" customFormat="false" ht="15" hidden="false" customHeight="false" outlineLevel="0" collapsed="false">
      <c r="A44" s="22" t="s">
        <v>442</v>
      </c>
      <c r="F44" s="98" t="s">
        <v>356</v>
      </c>
    </row>
    <row r="45" customFormat="false" ht="15" hidden="false" customHeight="false" outlineLevel="0" collapsed="false">
      <c r="A45" s="22" t="s">
        <v>443</v>
      </c>
      <c r="F45" s="98" t="s">
        <v>356</v>
      </c>
    </row>
  </sheetData>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G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30"/>
    <col collapsed="false" customWidth="true" hidden="false" outlineLevel="0" max="5" min="3" style="1" width="13"/>
    <col collapsed="false" customWidth="true" hidden="false" outlineLevel="0" max="6" min="6" style="1" width="3"/>
    <col collapsed="false" customWidth="true" hidden="false" outlineLevel="0" max="7" min="7" style="1" width="46"/>
  </cols>
  <sheetData>
    <row r="2" customFormat="false" ht="30" hidden="false" customHeight="true" outlineLevel="0" collapsed="false">
      <c r="B2" s="2" t="s">
        <v>444</v>
      </c>
    </row>
    <row r="3" customFormat="false" ht="15.75" hidden="false" customHeight="true" outlineLevel="0" collapsed="false">
      <c r="B3" s="3" t="s">
        <v>445</v>
      </c>
    </row>
    <row r="5" customFormat="false" ht="15" hidden="false" customHeight="true" outlineLevel="0" collapsed="false">
      <c r="B5" s="25" t="s">
        <v>446</v>
      </c>
      <c r="C5" s="25"/>
      <c r="D5" s="25"/>
      <c r="E5" s="25"/>
    </row>
    <row r="6" customFormat="false" ht="15" hidden="false" customHeight="true" outlineLevel="0" collapsed="false">
      <c r="B6" s="28" t="s">
        <v>447</v>
      </c>
      <c r="C6" s="108" t="n">
        <f aca="false">Paramètres!C12</f>
        <v>0.5</v>
      </c>
      <c r="D6" s="108" t="n">
        <f aca="false">Paramètres!D12</f>
        <v>0.75</v>
      </c>
      <c r="E6" s="108" t="n">
        <f aca="false">Paramètres!E12</f>
        <v>1</v>
      </c>
      <c r="G6" s="109" t="s">
        <v>448</v>
      </c>
    </row>
    <row r="7" customFormat="false" ht="15" hidden="false" customHeight="true" outlineLevel="0" collapsed="false">
      <c r="B7" s="110" t="n">
        <f aca="false">Paramètres!C9</f>
        <v>0.115384615384615</v>
      </c>
      <c r="C7" s="111" t="n">
        <f aca="false">(Paramètres!$D$14+Paramètres!$D$15+Paramètres!$D$17+Paramètres!$D$10*Paramètres!$D$19+$B7/C$6)*(1+Paramètres!$D$20)+Paramètres!$D$21+Paramètres!$D$22</f>
        <v>0.672192307692308</v>
      </c>
      <c r="D7" s="111" t="n">
        <f aca="false">(Paramètres!$D$14+Paramètres!$D$15+Paramètres!$D$17+Paramètres!$D$10*Paramètres!$D$19+$B7/D$6)*(1+Paramètres!$D$20)+Paramètres!$D$21+Paramètres!$D$22</f>
        <v>0.578346153846154</v>
      </c>
      <c r="E7" s="111" t="n">
        <f aca="false">(Paramètres!$D$14+Paramètres!$D$15+Paramètres!$D$17+Paramètres!$D$10*Paramètres!$D$19+$B7/E$6)*(1+Paramètres!$D$20)+Paramètres!$D$21+Paramètres!$D$22</f>
        <v>0.531423076923077</v>
      </c>
    </row>
    <row r="8" customFormat="false" ht="15" hidden="false" customHeight="true" outlineLevel="0" collapsed="false">
      <c r="B8" s="110" t="n">
        <f aca="false">Paramètres!D9</f>
        <v>0.173076923076923</v>
      </c>
      <c r="C8" s="111" t="n">
        <f aca="false">(Paramètres!$D$14+Paramètres!$D$15+Paramètres!$D$17+Paramètres!$D$10*Paramètres!$D$19+$B8/C$6)*(1+Paramètres!$D$20)+Paramètres!$D$21+Paramètres!$D$22</f>
        <v>0.812961538461539</v>
      </c>
      <c r="D8" s="111" t="n">
        <f aca="false">(Paramètres!$D$14+Paramètres!$D$15+Paramètres!$D$17+Paramètres!$D$10*Paramètres!$D$19+$B8/D$6)*(1+Paramètres!$D$20)+Paramètres!$D$21+Paramètres!$D$22</f>
        <v>0.672192307692308</v>
      </c>
      <c r="E8" s="111" t="n">
        <f aca="false">(Paramètres!$D$14+Paramètres!$D$15+Paramètres!$D$17+Paramètres!$D$10*Paramètres!$D$19+$B8/E$6)*(1+Paramètres!$D$20)+Paramètres!$D$21+Paramètres!$D$22</f>
        <v>0.601807692307692</v>
      </c>
    </row>
    <row r="9" customFormat="false" ht="15" hidden="false" customHeight="true" outlineLevel="0" collapsed="false">
      <c r="B9" s="110" t="n">
        <f aca="false">Paramètres!E9</f>
        <v>0.230769230769231</v>
      </c>
      <c r="C9" s="111" t="n">
        <f aca="false">(Paramètres!$D$14+Paramètres!$D$15+Paramètres!$D$17+Paramètres!$D$10*Paramètres!$D$19+$B9/C$6)*(1+Paramètres!$D$20)+Paramètres!$D$21+Paramètres!$D$22</f>
        <v>0.953730769230769</v>
      </c>
      <c r="D9" s="111" t="n">
        <f aca="false">(Paramètres!$D$14+Paramètres!$D$15+Paramètres!$D$17+Paramètres!$D$10*Paramètres!$D$19+$B9/D$6)*(1+Paramètres!$D$20)+Paramètres!$D$21+Paramètres!$D$22</f>
        <v>0.766038461538462</v>
      </c>
      <c r="E9" s="111" t="n">
        <f aca="false">(Paramètres!$D$14+Paramètres!$D$15+Paramètres!$D$17+Paramètres!$D$10*Paramètres!$D$19+$B9/E$6)*(1+Paramètres!$D$20)+Paramètres!$D$21+Paramètres!$D$22</f>
        <v>0.672192307692308</v>
      </c>
    </row>
    <row r="12" customFormat="false" ht="15" hidden="false" customHeight="true" outlineLevel="0" collapsed="false">
      <c r="B12" s="25" t="s">
        <v>449</v>
      </c>
      <c r="C12" s="25"/>
      <c r="D12" s="25"/>
      <c r="E12" s="25"/>
    </row>
    <row r="13" customFormat="false" ht="15" hidden="false" customHeight="true" outlineLevel="0" collapsed="false">
      <c r="B13" s="28" t="s">
        <v>450</v>
      </c>
      <c r="C13" s="52" t="s">
        <v>451</v>
      </c>
      <c r="D13" s="52" t="s">
        <v>216</v>
      </c>
      <c r="E13" s="52" t="s">
        <v>452</v>
      </c>
    </row>
    <row r="14" customFormat="false" ht="15" hidden="false" customHeight="true" outlineLevel="0" collapsed="false">
      <c r="B14" s="112" t="s">
        <v>453</v>
      </c>
      <c r="C14" s="113" t="n">
        <f aca="false">'Coût par feuille'!G15</f>
        <v>0.465223076923077</v>
      </c>
      <c r="D14" s="113" t="n">
        <f aca="false">'Coût par feuille'!H15</f>
        <v>0.672192307692308</v>
      </c>
      <c r="E14" s="113" t="n">
        <f aca="false">'Coût par feuille'!I15</f>
        <v>0.9153</v>
      </c>
      <c r="G14" s="109" t="s">
        <v>454</v>
      </c>
    </row>
    <row r="15" customFormat="false" ht="15" hidden="false" customHeight="true" outlineLevel="0" collapsed="false">
      <c r="B15" s="114" t="n">
        <v>1</v>
      </c>
      <c r="C15" s="64" t="n">
        <f aca="false">($B15-C$14)/$B15</f>
        <v>0.534776923076923</v>
      </c>
      <c r="D15" s="64" t="n">
        <f aca="false">($B15-D$14)/$B15</f>
        <v>0.327807692307692</v>
      </c>
      <c r="E15" s="64" t="n">
        <f aca="false">($B15-E$14)/$B15</f>
        <v>0.0847</v>
      </c>
      <c r="G15" s="109" t="s">
        <v>455</v>
      </c>
    </row>
    <row r="16" customFormat="false" ht="15" hidden="false" customHeight="true" outlineLevel="0" collapsed="false">
      <c r="B16" s="114" t="n">
        <v>1.25</v>
      </c>
      <c r="C16" s="64" t="n">
        <f aca="false">($B16-C$14)/$B16</f>
        <v>0.627821538461538</v>
      </c>
      <c r="D16" s="64" t="n">
        <f aca="false">($B16-D$14)/$B16</f>
        <v>0.462246153846154</v>
      </c>
      <c r="E16" s="64" t="n">
        <f aca="false">($B16-E$14)/$B16</f>
        <v>0.26776</v>
      </c>
    </row>
    <row r="17" customFormat="false" ht="15" hidden="false" customHeight="true" outlineLevel="0" collapsed="false">
      <c r="B17" s="114" t="n">
        <v>1.5</v>
      </c>
      <c r="C17" s="64" t="n">
        <f aca="false">($B17-C$14)/$B17</f>
        <v>0.689851282051282</v>
      </c>
      <c r="D17" s="64" t="n">
        <f aca="false">($B17-D$14)/$B17</f>
        <v>0.551871794871795</v>
      </c>
      <c r="E17" s="64" t="n">
        <f aca="false">($B17-E$14)/$B17</f>
        <v>0.3898</v>
      </c>
    </row>
  </sheetData>
  <mergeCells count="2">
    <mergeCell ref="B5:E5"/>
    <mergeCell ref="B12:E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D1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
    <col collapsed="false" customWidth="true" hidden="false" outlineLevel="0" max="2" min="2" style="1" width="52"/>
    <col collapsed="false" customWidth="true" hidden="false" outlineLevel="0" max="3" min="3" style="1" width="58"/>
    <col collapsed="false" customWidth="true" hidden="false" outlineLevel="0" max="4" min="4" style="1" width="62"/>
    <col collapsed="false" customWidth="true" hidden="false" outlineLevel="0" max="5" min="5" style="0" width="13"/>
  </cols>
  <sheetData>
    <row r="2" customFormat="false" ht="30" hidden="false" customHeight="true" outlineLevel="0" collapsed="false">
      <c r="B2" s="2" t="s">
        <v>456</v>
      </c>
    </row>
    <row r="3" customFormat="false" ht="15.75" hidden="false" customHeight="true" outlineLevel="0" collapsed="false">
      <c r="B3" s="3" t="s">
        <v>457</v>
      </c>
    </row>
    <row r="5" customFormat="false" ht="19.5" hidden="false" customHeight="true" outlineLevel="0" collapsed="false">
      <c r="B5" s="27" t="s">
        <v>54</v>
      </c>
      <c r="C5" s="27" t="s">
        <v>458</v>
      </c>
      <c r="D5" s="27" t="s">
        <v>55</v>
      </c>
    </row>
    <row r="6" customFormat="false" ht="45.75" hidden="false" customHeight="true" outlineLevel="0" collapsed="false">
      <c r="B6" s="115" t="s">
        <v>459</v>
      </c>
      <c r="C6" s="67" t="s">
        <v>460</v>
      </c>
      <c r="D6" s="15" t="s">
        <v>62</v>
      </c>
    </row>
    <row r="7" customFormat="false" ht="45.75" hidden="false" customHeight="true" outlineLevel="0" collapsed="false">
      <c r="B7" s="115" t="s">
        <v>461</v>
      </c>
      <c r="C7" s="67" t="s">
        <v>462</v>
      </c>
      <c r="D7" s="15" t="s">
        <v>463</v>
      </c>
    </row>
    <row r="8" customFormat="false" ht="45.75" hidden="false" customHeight="true" outlineLevel="0" collapsed="false">
      <c r="B8" s="115" t="s">
        <v>464</v>
      </c>
      <c r="C8" s="67" t="s">
        <v>465</v>
      </c>
      <c r="D8" s="15" t="s">
        <v>466</v>
      </c>
    </row>
    <row r="9" customFormat="false" ht="45.75" hidden="false" customHeight="true" outlineLevel="0" collapsed="false">
      <c r="B9" s="115" t="s">
        <v>467</v>
      </c>
      <c r="C9" s="67" t="s">
        <v>468</v>
      </c>
      <c r="D9" s="15" t="s">
        <v>469</v>
      </c>
    </row>
    <row r="10" customFormat="false" ht="45.75" hidden="false" customHeight="true" outlineLevel="0" collapsed="false">
      <c r="B10" s="115" t="s">
        <v>470</v>
      </c>
      <c r="C10" s="67" t="s">
        <v>471</v>
      </c>
      <c r="D10" s="15" t="s">
        <v>472</v>
      </c>
    </row>
    <row r="11" customFormat="false" ht="45.75" hidden="false" customHeight="true" outlineLevel="0" collapsed="false">
      <c r="B11" s="115" t="s">
        <v>473</v>
      </c>
      <c r="C11" s="67" t="s">
        <v>474</v>
      </c>
      <c r="D11" s="15" t="s">
        <v>475</v>
      </c>
    </row>
    <row r="12" customFormat="false" ht="45.75" hidden="false" customHeight="true" outlineLevel="0" collapsed="false">
      <c r="B12" s="115" t="s">
        <v>476</v>
      </c>
      <c r="C12" s="67" t="s">
        <v>477</v>
      </c>
      <c r="D12" s="15" t="s">
        <v>152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2026-08-08T15:22:57Z</dcterms:created>
  <dc:creator>openpyxl</dc:creator>
  <dc:description/>
  <dc:language>en-US</dc:language>
  <cp:lastModifiedBy/>
  <dcterms:modified xsi:type="dcterms:W3CDTF">2026-08-09T20:32:24Z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